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234eadb761e7ed/OTÁVIO/1.H^0N/Planilhas/"/>
    </mc:Choice>
  </mc:AlternateContent>
  <xr:revisionPtr revIDLastSave="14" documentId="8_{BBC34511-CF84-4307-830C-6C2C4AB434D5}" xr6:coauthVersionLast="47" xr6:coauthVersionMax="47" xr10:uidLastSave="{EC8AD8BC-0A70-4816-B73F-DAAEEC516E95}"/>
  <bookViews>
    <workbookView xWindow="-120" yWindow="-120" windowWidth="20730" windowHeight="11160" tabRatio="599" activeTab="3" xr2:uid="{2D499CA3-5B80-4197-8C3E-3517139C4733}"/>
  </bookViews>
  <sheets>
    <sheet name="AVES" sheetId="2" r:id="rId1"/>
    <sheet name=" OVOS" sheetId="7" r:id="rId2"/>
    <sheet name="Gráficos Semanais" sheetId="10" r:id="rId3"/>
    <sheet name="RELATÓRIO GERAL" sheetId="9" r:id="rId4"/>
    <sheet name="Base de dados" sheetId="5" state="hidden" r:id="rId5"/>
  </sheets>
  <definedNames>
    <definedName name="_xlnm.Print_Area" localSheetId="1">' OVOS'!$A$1:$F$47</definedName>
    <definedName name="_xlnm.Print_Area" localSheetId="0">AVES!$A$1:$F$47</definedName>
    <definedName name="_xlnm.Print_Area" localSheetId="2">'Gráficos Semanais'!$A$1:$F$48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L11" i="10"/>
  <c r="M11" i="10" s="1" a="1"/>
  <c r="M11" i="10" s="1"/>
  <c r="L12" i="10"/>
  <c r="M12" i="10" s="1" a="1"/>
  <c r="M12" i="10" s="1"/>
  <c r="L13" i="10"/>
  <c r="M13" i="10" s="1" a="1"/>
  <c r="M13" i="10" s="1"/>
  <c r="L14" i="10"/>
  <c r="M14" i="10" s="1" a="1"/>
  <c r="M14" i="10" s="1"/>
  <c r="L15" i="10"/>
  <c r="M15" i="10" s="1" a="1"/>
  <c r="M15" i="10" s="1"/>
  <c r="L16" i="10"/>
  <c r="M16" i="10" s="1" a="1"/>
  <c r="M16" i="10" s="1"/>
  <c r="L17" i="10"/>
  <c r="M17" i="10" s="1" a="1"/>
  <c r="M17" i="10" s="1"/>
  <c r="L18" i="10"/>
  <c r="M18" i="10" s="1" a="1"/>
  <c r="M18" i="10" s="1"/>
  <c r="L19" i="10"/>
  <c r="M19" i="10" s="1" a="1"/>
  <c r="M19" i="10" s="1"/>
  <c r="L20" i="10"/>
  <c r="M20" i="10" s="1" a="1"/>
  <c r="M20" i="10" s="1"/>
  <c r="L21" i="10"/>
  <c r="M21" i="10" s="1" a="1"/>
  <c r="M21" i="10" s="1"/>
  <c r="L22" i="10"/>
  <c r="M22" i="10" s="1" a="1"/>
  <c r="M22" i="10" s="1"/>
  <c r="L23" i="10"/>
  <c r="M23" i="10" s="1" a="1"/>
  <c r="M23" i="10" s="1"/>
  <c r="L24" i="10"/>
  <c r="M24" i="10" s="1" a="1"/>
  <c r="M24" i="10" s="1"/>
  <c r="L25" i="10"/>
  <c r="M25" i="10" s="1" a="1"/>
  <c r="M25" i="10" s="1"/>
  <c r="L26" i="10"/>
  <c r="M26" i="10" s="1" a="1"/>
  <c r="M26" i="10" s="1"/>
  <c r="L27" i="10"/>
  <c r="M27" i="10" s="1" a="1"/>
  <c r="M27" i="10" s="1"/>
  <c r="L28" i="10"/>
  <c r="M28" i="10" s="1" a="1"/>
  <c r="M28" i="10" s="1"/>
  <c r="L29" i="10"/>
  <c r="M29" i="10" s="1" a="1"/>
  <c r="M29" i="10" s="1"/>
  <c r="L30" i="10"/>
  <c r="M30" i="10" s="1" a="1"/>
  <c r="M30" i="10" s="1"/>
  <c r="L31" i="10"/>
  <c r="M31" i="10" s="1" a="1"/>
  <c r="M31" i="10" s="1"/>
  <c r="L32" i="10"/>
  <c r="M32" i="10" s="1" a="1"/>
  <c r="M32" i="10" s="1"/>
  <c r="L33" i="10"/>
  <c r="M33" i="10" s="1" a="1"/>
  <c r="M33" i="10" s="1"/>
  <c r="L34" i="10"/>
  <c r="M34" i="10" s="1" a="1"/>
  <c r="M34" i="10" s="1"/>
  <c r="L35" i="10"/>
  <c r="M35" i="10" s="1" a="1"/>
  <c r="M35" i="10" s="1"/>
  <c r="L36" i="10"/>
  <c r="M36" i="10" s="1" a="1"/>
  <c r="M36" i="10" s="1"/>
  <c r="L37" i="10"/>
  <c r="M37" i="10" s="1" a="1"/>
  <c r="M37" i="10" s="1"/>
  <c r="L38" i="10"/>
  <c r="M38" i="10" s="1" a="1"/>
  <c r="M38" i="10" s="1"/>
  <c r="L39" i="10"/>
  <c r="M39" i="10" s="1" a="1"/>
  <c r="M39" i="10" s="1"/>
  <c r="L40" i="10"/>
  <c r="M40" i="10" s="1" a="1"/>
  <c r="M40" i="10" s="1"/>
  <c r="L41" i="10"/>
  <c r="M41" i="10" s="1" a="1"/>
  <c r="M41" i="10" s="1"/>
  <c r="L42" i="10"/>
  <c r="M42" i="10" s="1" a="1"/>
  <c r="M42" i="10" s="1"/>
  <c r="L43" i="10"/>
  <c r="M43" i="10" s="1" a="1"/>
  <c r="M43" i="10" s="1"/>
  <c r="L44" i="10"/>
  <c r="M44" i="10" s="1" a="1"/>
  <c r="M44" i="10" s="1"/>
  <c r="L45" i="10"/>
  <c r="M45" i="10" s="1" a="1"/>
  <c r="M45" i="10" s="1"/>
  <c r="L46" i="10"/>
  <c r="M46" i="10" s="1" a="1"/>
  <c r="M46" i="10" s="1"/>
  <c r="L47" i="10"/>
  <c r="M47" i="10" s="1" a="1"/>
  <c r="M47" i="10" s="1"/>
  <c r="L48" i="10"/>
  <c r="M48" i="10" s="1" a="1"/>
  <c r="M48" i="10" s="1"/>
  <c r="L49" i="10"/>
  <c r="M49" i="10" s="1" a="1"/>
  <c r="M49" i="10" s="1"/>
  <c r="L50" i="10"/>
  <c r="M50" i="10" s="1" a="1"/>
  <c r="M50" i="10" s="1"/>
  <c r="L51" i="10"/>
  <c r="M51" i="10" s="1" a="1"/>
  <c r="M51" i="10" s="1"/>
  <c r="L52" i="10"/>
  <c r="M52" i="10" s="1" a="1"/>
  <c r="M52" i="10" s="1"/>
  <c r="L53" i="10"/>
  <c r="M53" i="10" s="1" a="1"/>
  <c r="M53" i="10" s="1"/>
  <c r="L54" i="10"/>
  <c r="M54" i="10" s="1" a="1"/>
  <c r="M54" i="10" s="1"/>
  <c r="L55" i="10"/>
  <c r="M55" i="10" s="1" a="1"/>
  <c r="M55" i="10" s="1"/>
  <c r="L56" i="10"/>
  <c r="M56" i="10" s="1" a="1"/>
  <c r="M56" i="10" s="1"/>
  <c r="L57" i="10"/>
  <c r="M57" i="10" s="1" a="1"/>
  <c r="M57" i="10" s="1"/>
  <c r="L58" i="10"/>
  <c r="M58" i="10" s="1" a="1"/>
  <c r="M58" i="10" s="1"/>
  <c r="L59" i="10"/>
  <c r="M59" i="10" s="1" a="1"/>
  <c r="M59" i="10" s="1"/>
  <c r="L60" i="10"/>
  <c r="M60" i="10" s="1" a="1"/>
  <c r="M60" i="10" s="1"/>
  <c r="L61" i="10"/>
  <c r="M61" i="10" s="1" a="1"/>
  <c r="M61" i="10" s="1"/>
  <c r="L62" i="10"/>
  <c r="M62" i="10" s="1" a="1"/>
  <c r="M62" i="10" s="1"/>
  <c r="L63" i="10"/>
  <c r="M63" i="10" s="1" a="1"/>
  <c r="M63" i="10" s="1"/>
  <c r="L64" i="10"/>
  <c r="M64" i="10" s="1" a="1"/>
  <c r="M64" i="10" s="1"/>
  <c r="L65" i="10"/>
  <c r="M65" i="10" s="1" a="1"/>
  <c r="M65" i="10" s="1"/>
  <c r="L66" i="10"/>
  <c r="M66" i="10" s="1" a="1"/>
  <c r="M66" i="10" s="1"/>
  <c r="L67" i="10"/>
  <c r="M67" i="10" s="1" a="1"/>
  <c r="M67" i="10" s="1"/>
  <c r="L68" i="10"/>
  <c r="M68" i="10" s="1" a="1"/>
  <c r="M68" i="10" s="1"/>
  <c r="L69" i="10"/>
  <c r="M69" i="10" s="1" a="1"/>
  <c r="M69" i="10" s="1"/>
  <c r="L70" i="10"/>
  <c r="M70" i="10" s="1" a="1"/>
  <c r="M70" i="10" s="1"/>
  <c r="L71" i="10"/>
  <c r="M71" i="10" s="1" a="1"/>
  <c r="M71" i="10" s="1"/>
  <c r="L72" i="10"/>
  <c r="M72" i="10" s="1" a="1"/>
  <c r="M72" i="10" s="1"/>
  <c r="L73" i="10"/>
  <c r="M73" i="10" s="1" a="1"/>
  <c r="M73" i="10" s="1"/>
  <c r="L74" i="10"/>
  <c r="M74" i="10" s="1" a="1"/>
  <c r="M74" i="10" s="1"/>
  <c r="L75" i="10"/>
  <c r="M75" i="10" s="1" a="1"/>
  <c r="M75" i="10" s="1"/>
  <c r="L76" i="10"/>
  <c r="M76" i="10" s="1" a="1"/>
  <c r="M76" i="10" s="1"/>
  <c r="L77" i="10"/>
  <c r="M77" i="10" s="1" a="1"/>
  <c r="M77" i="10" s="1"/>
  <c r="L78" i="10"/>
  <c r="M78" i="10" s="1" a="1"/>
  <c r="M78" i="10" s="1"/>
  <c r="L79" i="10"/>
  <c r="M79" i="10" s="1" a="1"/>
  <c r="M79" i="10" s="1"/>
  <c r="L80" i="10"/>
  <c r="M80" i="10" s="1" a="1"/>
  <c r="M80" i="10" s="1"/>
  <c r="L81" i="10"/>
  <c r="M81" i="10" s="1" a="1"/>
  <c r="M81" i="10" s="1"/>
  <c r="L82" i="10"/>
  <c r="M82" i="10" s="1" a="1"/>
  <c r="M82" i="10" s="1"/>
  <c r="L83" i="10"/>
  <c r="M83" i="10" s="1" a="1"/>
  <c r="M83" i="10" s="1"/>
  <c r="L84" i="10"/>
  <c r="M84" i="10" s="1" a="1"/>
  <c r="M84" i="10" s="1"/>
  <c r="L85" i="10"/>
  <c r="M85" i="10" s="1" a="1"/>
  <c r="M85" i="10" s="1"/>
  <c r="L86" i="10"/>
  <c r="M86" i="10" s="1" a="1"/>
  <c r="M86" i="10" s="1"/>
  <c r="L87" i="10"/>
  <c r="M87" i="10" s="1" a="1"/>
  <c r="M87" i="10" s="1"/>
  <c r="L88" i="10"/>
  <c r="M88" i="10" s="1" a="1"/>
  <c r="M88" i="10" s="1"/>
  <c r="L89" i="10"/>
  <c r="M89" i="10" s="1" a="1"/>
  <c r="M89" i="10" s="1"/>
  <c r="L90" i="10"/>
  <c r="M90" i="10" s="1" a="1"/>
  <c r="M90" i="10" s="1"/>
  <c r="L91" i="10"/>
  <c r="M91" i="10" s="1" a="1"/>
  <c r="M91" i="10" s="1"/>
  <c r="L92" i="10"/>
  <c r="M92" i="10" s="1" a="1"/>
  <c r="M92" i="10" s="1"/>
  <c r="L93" i="10"/>
  <c r="M93" i="10" s="1" a="1"/>
  <c r="M93" i="10" s="1"/>
  <c r="L94" i="10"/>
  <c r="M94" i="10" s="1" a="1"/>
  <c r="M94" i="10" s="1"/>
  <c r="L95" i="10"/>
  <c r="M95" i="10" s="1" a="1"/>
  <c r="M95" i="10" s="1"/>
  <c r="L96" i="10"/>
  <c r="M96" i="10" s="1" a="1"/>
  <c r="M96" i="10" s="1"/>
  <c r="L97" i="10"/>
  <c r="M97" i="10" s="1" a="1"/>
  <c r="M97" i="10" s="1"/>
  <c r="L98" i="10"/>
  <c r="M98" i="10" s="1" a="1"/>
  <c r="M98" i="10" s="1"/>
  <c r="L99" i="10"/>
  <c r="M99" i="10" s="1" a="1"/>
  <c r="M99" i="10" s="1"/>
  <c r="L100" i="10"/>
  <c r="M100" i="10" s="1" a="1"/>
  <c r="M100" i="10" s="1"/>
  <c r="L101" i="10"/>
  <c r="M101" i="10" s="1" a="1"/>
  <c r="M101" i="10" s="1"/>
  <c r="L102" i="10"/>
  <c r="M102" i="10" s="1" a="1"/>
  <c r="M102" i="10" s="1"/>
  <c r="L103" i="10"/>
  <c r="M103" i="10" s="1" a="1"/>
  <c r="M103" i="10" s="1"/>
  <c r="L104" i="10"/>
  <c r="M104" i="10" s="1" a="1"/>
  <c r="M104" i="10" s="1"/>
  <c r="L105" i="10"/>
  <c r="M105" i="10" s="1" a="1"/>
  <c r="M105" i="10" s="1"/>
  <c r="L106" i="10"/>
  <c r="M106" i="10" s="1" a="1"/>
  <c r="M106" i="10" s="1"/>
  <c r="L107" i="10"/>
  <c r="M107" i="10" s="1" a="1"/>
  <c r="M107" i="10" s="1"/>
  <c r="L108" i="10"/>
  <c r="M108" i="10" s="1" a="1"/>
  <c r="M108" i="10" s="1"/>
  <c r="L109" i="10"/>
  <c r="M109" i="10" s="1" a="1"/>
  <c r="M109" i="10" s="1"/>
  <c r="L110" i="10"/>
  <c r="M110" i="10" s="1" a="1"/>
  <c r="M110" i="10" s="1"/>
  <c r="L111" i="10"/>
  <c r="M111" i="10" s="1" a="1"/>
  <c r="M111" i="10" s="1"/>
  <c r="L112" i="10"/>
  <c r="M112" i="10" s="1" a="1"/>
  <c r="M112" i="10" s="1"/>
  <c r="L113" i="10"/>
  <c r="M113" i="10" s="1" a="1"/>
  <c r="M113" i="10" s="1"/>
  <c r="L114" i="10"/>
  <c r="M114" i="10" s="1" a="1"/>
  <c r="M114" i="10" s="1"/>
  <c r="L115" i="10"/>
  <c r="M115" i="10" s="1" a="1"/>
  <c r="M115" i="10" s="1"/>
  <c r="L116" i="10"/>
  <c r="M116" i="10" s="1" a="1"/>
  <c r="M116" i="10" s="1"/>
  <c r="L117" i="10"/>
  <c r="M117" i="10" s="1" a="1"/>
  <c r="M117" i="10" s="1"/>
  <c r="L118" i="10"/>
  <c r="M118" i="10" s="1" a="1"/>
  <c r="M118" i="10" s="1"/>
  <c r="L119" i="10"/>
  <c r="M119" i="10" s="1" a="1"/>
  <c r="M119" i="10" s="1"/>
  <c r="L120" i="10"/>
  <c r="M120" i="10" s="1" a="1"/>
  <c r="M120" i="10" s="1"/>
  <c r="L121" i="10"/>
  <c r="M121" i="10" s="1" a="1"/>
  <c r="M121" i="10" s="1"/>
  <c r="L122" i="10"/>
  <c r="M122" i="10" s="1" a="1"/>
  <c r="M122" i="10" s="1"/>
  <c r="L123" i="10"/>
  <c r="M123" i="10" s="1" a="1"/>
  <c r="M123" i="10" s="1"/>
  <c r="L124" i="10"/>
  <c r="M124" i="10" s="1" a="1"/>
  <c r="M124" i="10" s="1"/>
  <c r="L125" i="10"/>
  <c r="M125" i="10" s="1" a="1"/>
  <c r="M125" i="10" s="1"/>
  <c r="L126" i="10"/>
  <c r="M126" i="10" s="1" a="1"/>
  <c r="M126" i="10" s="1"/>
  <c r="L127" i="10"/>
  <c r="M127" i="10" s="1" a="1"/>
  <c r="M127" i="10" s="1"/>
  <c r="L128" i="10"/>
  <c r="M128" i="10" s="1" a="1"/>
  <c r="M128" i="10" s="1"/>
  <c r="L129" i="10"/>
  <c r="M129" i="10" s="1" a="1"/>
  <c r="M129" i="10" s="1"/>
  <c r="L130" i="10"/>
  <c r="M130" i="10" s="1" a="1"/>
  <c r="M130" i="10" s="1"/>
  <c r="L131" i="10"/>
  <c r="M131" i="10" s="1" a="1"/>
  <c r="M131" i="10" s="1"/>
  <c r="L132" i="10"/>
  <c r="M132" i="10" s="1" a="1"/>
  <c r="M132" i="10" s="1"/>
  <c r="L133" i="10"/>
  <c r="M133" i="10" s="1" a="1"/>
  <c r="M133" i="10" s="1"/>
  <c r="L134" i="10"/>
  <c r="M134" i="10" s="1" a="1"/>
  <c r="M134" i="10" s="1"/>
  <c r="L135" i="10"/>
  <c r="M135" i="10" s="1" a="1"/>
  <c r="M135" i="10" s="1"/>
  <c r="L136" i="10"/>
  <c r="M136" i="10" s="1" a="1"/>
  <c r="M136" i="10" s="1"/>
  <c r="L137" i="10"/>
  <c r="M137" i="10" s="1" a="1"/>
  <c r="M137" i="10" s="1"/>
  <c r="L138" i="10"/>
  <c r="M138" i="10" s="1" a="1"/>
  <c r="M138" i="10" s="1"/>
  <c r="L139" i="10"/>
  <c r="M139" i="10" s="1" a="1"/>
  <c r="M139" i="10" s="1"/>
  <c r="L140" i="10"/>
  <c r="M140" i="10" s="1" a="1"/>
  <c r="M140" i="10" s="1"/>
  <c r="L141" i="10"/>
  <c r="M141" i="10" s="1" a="1"/>
  <c r="M141" i="10" s="1"/>
  <c r="L142" i="10"/>
  <c r="M142" i="10" s="1" a="1"/>
  <c r="M142" i="10" s="1"/>
  <c r="L143" i="10"/>
  <c r="M143" i="10" s="1" a="1"/>
  <c r="M143" i="10" s="1"/>
  <c r="L144" i="10"/>
  <c r="M144" i="10" s="1" a="1"/>
  <c r="M144" i="10" s="1"/>
  <c r="L145" i="10"/>
  <c r="M145" i="10" s="1" a="1"/>
  <c r="M145" i="10" s="1"/>
  <c r="L146" i="10"/>
  <c r="M146" i="10" s="1" a="1"/>
  <c r="M146" i="10" s="1"/>
  <c r="L147" i="10"/>
  <c r="M147" i="10" s="1" a="1"/>
  <c r="M147" i="10" s="1"/>
  <c r="L148" i="10"/>
  <c r="M148" i="10" s="1" a="1"/>
  <c r="M148" i="10" s="1"/>
  <c r="L149" i="10"/>
  <c r="M149" i="10" s="1" a="1"/>
  <c r="M149" i="10" s="1"/>
  <c r="L150" i="10"/>
  <c r="M150" i="10" s="1" a="1"/>
  <c r="M150" i="10" s="1"/>
  <c r="L151" i="10"/>
  <c r="M151" i="10" s="1" a="1"/>
  <c r="M151" i="10" s="1"/>
  <c r="L152" i="10"/>
  <c r="M152" i="10" s="1" a="1"/>
  <c r="M152" i="10" s="1"/>
  <c r="L153" i="10"/>
  <c r="M153" i="10" s="1" a="1"/>
  <c r="M153" i="10" s="1"/>
  <c r="L154" i="10"/>
  <c r="M154" i="10" s="1" a="1"/>
  <c r="M154" i="10" s="1"/>
  <c r="L155" i="10"/>
  <c r="M155" i="10" s="1" a="1"/>
  <c r="M155" i="10" s="1"/>
  <c r="L156" i="10"/>
  <c r="M156" i="10" s="1" a="1"/>
  <c r="M156" i="10" s="1"/>
  <c r="L157" i="10"/>
  <c r="M157" i="10" s="1" a="1"/>
  <c r="M157" i="10" s="1"/>
  <c r="L158" i="10"/>
  <c r="M158" i="10" s="1" a="1"/>
  <c r="M158" i="10" s="1"/>
  <c r="L159" i="10"/>
  <c r="M159" i="10" s="1" a="1"/>
  <c r="M159" i="10" s="1"/>
  <c r="L160" i="10"/>
  <c r="M160" i="10" s="1" a="1"/>
  <c r="M160" i="10" s="1"/>
  <c r="L161" i="10"/>
  <c r="M161" i="10" s="1" a="1"/>
  <c r="M161" i="10" s="1"/>
  <c r="L162" i="10"/>
  <c r="M162" i="10" s="1" a="1"/>
  <c r="M162" i="10" s="1"/>
  <c r="L163" i="10"/>
  <c r="M163" i="10" s="1" a="1"/>
  <c r="M163" i="10" s="1"/>
  <c r="L164" i="10"/>
  <c r="M164" i="10" s="1" a="1"/>
  <c r="M164" i="10" s="1"/>
  <c r="L165" i="10"/>
  <c r="M165" i="10" s="1" a="1"/>
  <c r="M165" i="10" s="1"/>
  <c r="L166" i="10"/>
  <c r="M166" i="10" s="1" a="1"/>
  <c r="M166" i="10" s="1"/>
  <c r="L167" i="10"/>
  <c r="M167" i="10" s="1" a="1"/>
  <c r="M167" i="10" s="1"/>
  <c r="L168" i="10"/>
  <c r="M168" i="10" s="1" a="1"/>
  <c r="M168" i="10" s="1"/>
  <c r="L169" i="10"/>
  <c r="M169" i="10" s="1" a="1"/>
  <c r="M169" i="10" s="1"/>
  <c r="L170" i="10"/>
  <c r="M170" i="10" s="1" a="1"/>
  <c r="M170" i="10" s="1"/>
  <c r="L171" i="10"/>
  <c r="M171" i="10" s="1" a="1"/>
  <c r="M171" i="10" s="1"/>
  <c r="L172" i="10"/>
  <c r="M172" i="10" s="1" a="1"/>
  <c r="M172" i="10" s="1"/>
  <c r="L173" i="10"/>
  <c r="M173" i="10" s="1" a="1"/>
  <c r="M173" i="10" s="1"/>
  <c r="L174" i="10"/>
  <c r="M174" i="10" s="1" a="1"/>
  <c r="M174" i="10" s="1"/>
  <c r="L175" i="10"/>
  <c r="M175" i="10" s="1" a="1"/>
  <c r="M175" i="10" s="1"/>
  <c r="L176" i="10"/>
  <c r="M176" i="10" s="1" a="1"/>
  <c r="M176" i="10" s="1"/>
  <c r="L177" i="10"/>
  <c r="M177" i="10" s="1" a="1"/>
  <c r="M177" i="10" s="1"/>
  <c r="L178" i="10"/>
  <c r="M178" i="10" s="1" a="1"/>
  <c r="M178" i="10" s="1"/>
  <c r="L179" i="10"/>
  <c r="M179" i="10" s="1" a="1"/>
  <c r="M179" i="10" s="1"/>
  <c r="L180" i="10"/>
  <c r="M180" i="10" s="1" a="1"/>
  <c r="M180" i="10" s="1"/>
  <c r="L181" i="10"/>
  <c r="M181" i="10" s="1" a="1"/>
  <c r="M181" i="10" s="1"/>
  <c r="L182" i="10"/>
  <c r="M182" i="10" s="1" a="1"/>
  <c r="M182" i="10" s="1"/>
  <c r="L183" i="10"/>
  <c r="M183" i="10" s="1" a="1"/>
  <c r="M183" i="10" s="1"/>
  <c r="L184" i="10"/>
  <c r="M184" i="10" s="1" a="1"/>
  <c r="M184" i="10" s="1"/>
  <c r="L185" i="10"/>
  <c r="M185" i="10" s="1" a="1"/>
  <c r="M185" i="10" s="1"/>
  <c r="L186" i="10"/>
  <c r="M186" i="10" s="1" a="1"/>
  <c r="M186" i="10" s="1"/>
  <c r="L187" i="10"/>
  <c r="M187" i="10" s="1" a="1"/>
  <c r="M187" i="10" s="1"/>
  <c r="L188" i="10"/>
  <c r="M188" i="10" s="1" a="1"/>
  <c r="M188" i="10" s="1"/>
  <c r="L189" i="10"/>
  <c r="M189" i="10" s="1" a="1"/>
  <c r="M189" i="10" s="1"/>
  <c r="L190" i="10"/>
  <c r="M190" i="10" s="1" a="1"/>
  <c r="M190" i="10" s="1"/>
  <c r="L191" i="10"/>
  <c r="M191" i="10" s="1" a="1"/>
  <c r="M191" i="10" s="1"/>
  <c r="L192" i="10"/>
  <c r="M192" i="10" s="1" a="1"/>
  <c r="M192" i="10" s="1"/>
  <c r="L193" i="10"/>
  <c r="M193" i="10" s="1" a="1"/>
  <c r="M193" i="10" s="1"/>
  <c r="L194" i="10"/>
  <c r="M194" i="10" s="1" a="1"/>
  <c r="M194" i="10" s="1"/>
  <c r="L195" i="10"/>
  <c r="M195" i="10" s="1" a="1"/>
  <c r="M195" i="10" s="1"/>
  <c r="L196" i="10"/>
  <c r="M196" i="10" s="1" a="1"/>
  <c r="M196" i="10" s="1"/>
  <c r="L197" i="10"/>
  <c r="M197" i="10" s="1" a="1"/>
  <c r="M197" i="10" s="1"/>
  <c r="L198" i="10"/>
  <c r="M198" i="10" s="1" a="1"/>
  <c r="M198" i="10" s="1"/>
  <c r="L199" i="10"/>
  <c r="M199" i="10" s="1" a="1"/>
  <c r="M199" i="10" s="1"/>
  <c r="L200" i="10"/>
  <c r="M200" i="10" s="1" a="1"/>
  <c r="M200" i="10" s="1"/>
  <c r="L201" i="10"/>
  <c r="M201" i="10" s="1" a="1"/>
  <c r="M201" i="10" s="1"/>
  <c r="L202" i="10"/>
  <c r="M202" i="10" s="1" a="1"/>
  <c r="M202" i="10" s="1"/>
  <c r="L203" i="10"/>
  <c r="M203" i="10" s="1" a="1"/>
  <c r="M203" i="10" s="1"/>
  <c r="L204" i="10"/>
  <c r="M204" i="10" s="1" a="1"/>
  <c r="M204" i="10" s="1"/>
  <c r="L205" i="10"/>
  <c r="M205" i="10" s="1" a="1"/>
  <c r="M205" i="10" s="1"/>
  <c r="L206" i="10"/>
  <c r="M206" i="10" s="1" a="1"/>
  <c r="M206" i="10" s="1"/>
  <c r="L207" i="10"/>
  <c r="M207" i="10" s="1" a="1"/>
  <c r="M207" i="10" s="1"/>
  <c r="L208" i="10"/>
  <c r="M208" i="10" s="1" a="1"/>
  <c r="M208" i="10" s="1"/>
  <c r="L209" i="10"/>
  <c r="M209" i="10" s="1" a="1"/>
  <c r="M209" i="10" s="1"/>
  <c r="L210" i="10"/>
  <c r="M210" i="10" s="1" a="1"/>
  <c r="M210" i="10" s="1"/>
  <c r="L211" i="10"/>
  <c r="M211" i="10" s="1" a="1"/>
  <c r="M211" i="10" s="1"/>
  <c r="L212" i="10"/>
  <c r="M212" i="10" s="1" a="1"/>
  <c r="M212" i="10" s="1"/>
  <c r="L213" i="10"/>
  <c r="M213" i="10" s="1" a="1"/>
  <c r="M213" i="10" s="1"/>
  <c r="L214" i="10"/>
  <c r="M214" i="10" s="1" a="1"/>
  <c r="M214" i="10" s="1"/>
  <c r="L215" i="10"/>
  <c r="M215" i="10" s="1" a="1"/>
  <c r="M215" i="10" s="1"/>
  <c r="L216" i="10"/>
  <c r="M216" i="10" s="1" a="1"/>
  <c r="M216" i="10" s="1"/>
  <c r="L217" i="10"/>
  <c r="M217" i="10" s="1" a="1"/>
  <c r="M217" i="10" s="1"/>
  <c r="L218" i="10"/>
  <c r="M218" i="10" s="1" a="1"/>
  <c r="M218" i="10" s="1"/>
  <c r="L219" i="10"/>
  <c r="M219" i="10" s="1" a="1"/>
  <c r="M219" i="10" s="1"/>
  <c r="L220" i="10"/>
  <c r="M220" i="10" s="1" a="1"/>
  <c r="M220" i="10" s="1"/>
  <c r="L221" i="10"/>
  <c r="M221" i="10" s="1" a="1"/>
  <c r="M221" i="10" s="1"/>
  <c r="L222" i="10"/>
  <c r="M222" i="10" s="1" a="1"/>
  <c r="M222" i="10" s="1"/>
  <c r="L223" i="10"/>
  <c r="M223" i="10" s="1" a="1"/>
  <c r="M223" i="10" s="1"/>
  <c r="L224" i="10"/>
  <c r="M224" i="10" s="1" a="1"/>
  <c r="M224" i="10" s="1"/>
  <c r="L225" i="10"/>
  <c r="M225" i="10" s="1" a="1"/>
  <c r="M225" i="10" s="1"/>
  <c r="L226" i="10"/>
  <c r="M226" i="10" s="1" a="1"/>
  <c r="M226" i="10" s="1"/>
  <c r="L227" i="10"/>
  <c r="M227" i="10" s="1" a="1"/>
  <c r="M227" i="10" s="1"/>
  <c r="L228" i="10"/>
  <c r="M228" i="10" s="1" a="1"/>
  <c r="M228" i="10" s="1"/>
  <c r="L229" i="10"/>
  <c r="M229" i="10" s="1" a="1"/>
  <c r="M229" i="10" s="1"/>
  <c r="L230" i="10"/>
  <c r="M230" i="10" s="1" a="1"/>
  <c r="M230" i="10" s="1"/>
  <c r="L231" i="10"/>
  <c r="M231" i="10" s="1" a="1"/>
  <c r="M231" i="10" s="1"/>
  <c r="L232" i="10"/>
  <c r="M232" i="10" s="1" a="1"/>
  <c r="M232" i="10" s="1"/>
  <c r="L233" i="10"/>
  <c r="M233" i="10" s="1" a="1"/>
  <c r="M233" i="10" s="1"/>
  <c r="L234" i="10"/>
  <c r="M234" i="10" s="1" a="1"/>
  <c r="M234" i="10" s="1"/>
  <c r="L235" i="10"/>
  <c r="M235" i="10" s="1" a="1"/>
  <c r="M235" i="10" s="1"/>
  <c r="L236" i="10"/>
  <c r="M236" i="10" s="1" a="1"/>
  <c r="M236" i="10" s="1"/>
  <c r="L237" i="10"/>
  <c r="M237" i="10" s="1" a="1"/>
  <c r="M237" i="10" s="1"/>
  <c r="L238" i="10"/>
  <c r="M238" i="10" s="1" a="1"/>
  <c r="M238" i="10" s="1"/>
  <c r="L239" i="10"/>
  <c r="M239" i="10" s="1" a="1"/>
  <c r="M239" i="10" s="1"/>
  <c r="L240" i="10"/>
  <c r="M240" i="10" s="1" a="1"/>
  <c r="M240" i="10" s="1"/>
  <c r="L241" i="10"/>
  <c r="M241" i="10" s="1" a="1"/>
  <c r="M241" i="10" s="1"/>
  <c r="L242" i="10"/>
  <c r="M242" i="10" s="1" a="1"/>
  <c r="M242" i="10" s="1"/>
  <c r="L243" i="10"/>
  <c r="M243" i="10" s="1" a="1"/>
  <c r="M243" i="10" s="1"/>
  <c r="L244" i="10"/>
  <c r="M244" i="10" s="1" a="1"/>
  <c r="M244" i="10" s="1"/>
  <c r="L245" i="10"/>
  <c r="M245" i="10" s="1" a="1"/>
  <c r="M245" i="10" s="1"/>
  <c r="L246" i="10"/>
  <c r="M246" i="10" s="1" a="1"/>
  <c r="M246" i="10" s="1"/>
  <c r="L247" i="10"/>
  <c r="M247" i="10" s="1" a="1"/>
  <c r="M247" i="10" s="1"/>
  <c r="L248" i="10"/>
  <c r="M248" i="10" s="1" a="1"/>
  <c r="M248" i="10" s="1"/>
  <c r="L249" i="10"/>
  <c r="M249" i="10" s="1" a="1"/>
  <c r="M249" i="10" s="1"/>
  <c r="L250" i="10"/>
  <c r="M250" i="10" s="1" a="1"/>
  <c r="M250" i="10" s="1"/>
  <c r="L251" i="10"/>
  <c r="M251" i="10" s="1" a="1"/>
  <c r="M251" i="10" s="1"/>
  <c r="L252" i="10"/>
  <c r="M252" i="10" s="1" a="1"/>
  <c r="M252" i="10" s="1"/>
  <c r="L253" i="10"/>
  <c r="M253" i="10" s="1" a="1"/>
  <c r="M253" i="10" s="1"/>
  <c r="L254" i="10"/>
  <c r="M254" i="10" s="1" a="1"/>
  <c r="M254" i="10" s="1"/>
  <c r="L255" i="10"/>
  <c r="M255" i="10" s="1" a="1"/>
  <c r="M255" i="10" s="1"/>
  <c r="L256" i="10"/>
  <c r="M256" i="10" s="1" a="1"/>
  <c r="M256" i="10" s="1"/>
  <c r="L257" i="10"/>
  <c r="M257" i="10" s="1" a="1"/>
  <c r="M257" i="10" s="1"/>
  <c r="L258" i="10"/>
  <c r="M258" i="10" s="1" a="1"/>
  <c r="M258" i="10" s="1"/>
  <c r="L259" i="10"/>
  <c r="M259" i="10" s="1" a="1"/>
  <c r="M259" i="10" s="1"/>
  <c r="L260" i="10"/>
  <c r="M260" i="10" s="1" a="1"/>
  <c r="M260" i="10" s="1"/>
  <c r="L261" i="10"/>
  <c r="M261" i="10" s="1" a="1"/>
  <c r="M261" i="10" s="1"/>
  <c r="L262" i="10"/>
  <c r="M262" i="10" s="1" a="1"/>
  <c r="M262" i="10" s="1"/>
  <c r="L263" i="10"/>
  <c r="M263" i="10" s="1" a="1"/>
  <c r="M263" i="10" s="1"/>
  <c r="L264" i="10"/>
  <c r="M264" i="10" s="1" a="1"/>
  <c r="M264" i="10" s="1"/>
  <c r="L265" i="10"/>
  <c r="M265" i="10" s="1" a="1"/>
  <c r="M265" i="10" s="1"/>
  <c r="L266" i="10"/>
  <c r="M266" i="10" s="1" a="1"/>
  <c r="M266" i="10" s="1"/>
  <c r="L267" i="10"/>
  <c r="M267" i="10" s="1" a="1"/>
  <c r="M267" i="10" s="1"/>
  <c r="L268" i="10"/>
  <c r="M268" i="10" s="1" a="1"/>
  <c r="M268" i="10" s="1"/>
  <c r="L269" i="10"/>
  <c r="M269" i="10" s="1" a="1"/>
  <c r="M269" i="10" s="1"/>
  <c r="L270" i="10"/>
  <c r="M270" i="10" s="1" a="1"/>
  <c r="M270" i="10" s="1"/>
  <c r="L271" i="10"/>
  <c r="M271" i="10" s="1" a="1"/>
  <c r="M271" i="10" s="1"/>
  <c r="L272" i="10"/>
  <c r="M272" i="10" s="1" a="1"/>
  <c r="M272" i="10" s="1"/>
  <c r="L273" i="10"/>
  <c r="M273" i="10" s="1" a="1"/>
  <c r="M273" i="10" s="1"/>
  <c r="L274" i="10"/>
  <c r="M274" i="10" s="1" a="1"/>
  <c r="M274" i="10" s="1"/>
  <c r="L275" i="10"/>
  <c r="M275" i="10" s="1" a="1"/>
  <c r="M275" i="10" s="1"/>
  <c r="L276" i="10"/>
  <c r="M276" i="10" s="1" a="1"/>
  <c r="M276" i="10" s="1"/>
  <c r="L277" i="10"/>
  <c r="M277" i="10" s="1" a="1"/>
  <c r="M277" i="10" s="1"/>
  <c r="L278" i="10"/>
  <c r="M278" i="10" s="1" a="1"/>
  <c r="M278" i="10" s="1"/>
  <c r="L279" i="10"/>
  <c r="M279" i="10" s="1" a="1"/>
  <c r="M279" i="10" s="1"/>
  <c r="L280" i="10"/>
  <c r="M280" i="10" s="1" a="1"/>
  <c r="M280" i="10" s="1"/>
  <c r="L281" i="10"/>
  <c r="M281" i="10" s="1" a="1"/>
  <c r="M281" i="10" s="1"/>
  <c r="L282" i="10"/>
  <c r="M282" i="10" s="1" a="1"/>
  <c r="M282" i="10" s="1"/>
  <c r="L283" i="10"/>
  <c r="M283" i="10" s="1" a="1"/>
  <c r="M283" i="10" s="1"/>
  <c r="L284" i="10"/>
  <c r="M284" i="10" s="1" a="1"/>
  <c r="M284" i="10" s="1"/>
  <c r="L285" i="10"/>
  <c r="M285" i="10" s="1" a="1"/>
  <c r="M285" i="10" s="1"/>
  <c r="L286" i="10"/>
  <c r="M286" i="10" s="1" a="1"/>
  <c r="M286" i="10" s="1"/>
  <c r="L287" i="10"/>
  <c r="M287" i="10" s="1" a="1"/>
  <c r="M287" i="10" s="1"/>
  <c r="L288" i="10"/>
  <c r="M288" i="10" s="1" a="1"/>
  <c r="M288" i="10" s="1"/>
  <c r="L289" i="10"/>
  <c r="M289" i="10" s="1" a="1"/>
  <c r="M289" i="10" s="1"/>
  <c r="L290" i="10"/>
  <c r="M290" i="10" s="1" a="1"/>
  <c r="M290" i="10" s="1"/>
  <c r="L291" i="10"/>
  <c r="M291" i="10" s="1" a="1"/>
  <c r="M291" i="10" s="1"/>
  <c r="L292" i="10"/>
  <c r="M292" i="10" s="1" a="1"/>
  <c r="M292" i="10" s="1"/>
  <c r="L293" i="10"/>
  <c r="M293" i="10" s="1" a="1"/>
  <c r="M293" i="10" s="1"/>
  <c r="L294" i="10"/>
  <c r="M294" i="10" s="1" a="1"/>
  <c r="M294" i="10" s="1"/>
  <c r="L295" i="10"/>
  <c r="M295" i="10" s="1" a="1"/>
  <c r="M295" i="10" s="1"/>
  <c r="L296" i="10"/>
  <c r="M296" i="10" s="1" a="1"/>
  <c r="M296" i="10" s="1"/>
  <c r="L297" i="10"/>
  <c r="M297" i="10" s="1" a="1"/>
  <c r="M297" i="10" s="1"/>
  <c r="L298" i="10"/>
  <c r="M298" i="10" s="1" a="1"/>
  <c r="M298" i="10" s="1"/>
  <c r="L299" i="10"/>
  <c r="M299" i="10" s="1" a="1"/>
  <c r="M299" i="10" s="1"/>
  <c r="L300" i="10"/>
  <c r="M300" i="10" s="1" a="1"/>
  <c r="M300" i="10" s="1"/>
  <c r="L301" i="10"/>
  <c r="M301" i="10" s="1" a="1"/>
  <c r="M301" i="10" s="1"/>
  <c r="L302" i="10"/>
  <c r="M302" i="10" s="1" a="1"/>
  <c r="M302" i="10" s="1"/>
  <c r="L303" i="10"/>
  <c r="M303" i="10" s="1" a="1"/>
  <c r="M303" i="10" s="1"/>
  <c r="L304" i="10"/>
  <c r="M304" i="10" s="1" a="1"/>
  <c r="M304" i="10" s="1"/>
  <c r="L305" i="10"/>
  <c r="M305" i="10" s="1" a="1"/>
  <c r="M305" i="10" s="1"/>
  <c r="L306" i="10"/>
  <c r="M306" i="10" s="1" a="1"/>
  <c r="M306" i="10" s="1"/>
  <c r="L307" i="10"/>
  <c r="M307" i="10" s="1" a="1"/>
  <c r="M307" i="10" s="1"/>
  <c r="L308" i="10"/>
  <c r="M308" i="10" s="1" a="1"/>
  <c r="M308" i="10" s="1"/>
  <c r="L309" i="10"/>
  <c r="M309" i="10" s="1" a="1"/>
  <c r="M309" i="10" s="1"/>
  <c r="L10" i="10"/>
  <c r="M10" i="10" s="1" a="1"/>
  <c r="M10" i="10" s="1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O10" i="10" l="1"/>
  <c r="O13" i="10"/>
  <c r="C20" i="10"/>
  <c r="C22" i="10" s="1" a="1"/>
  <c r="C22" i="10" s="1"/>
  <c r="O12" i="10"/>
  <c r="O11" i="10"/>
  <c r="C17" i="10"/>
  <c r="C23" i="10" l="1"/>
  <c r="C16" i="10"/>
  <c r="Q10" i="10"/>
  <c r="R10" i="10" s="1"/>
  <c r="Q13" i="10"/>
  <c r="Q9" i="10"/>
  <c r="R9" i="10" s="1"/>
  <c r="I2" i="10" l="1"/>
  <c r="J2" i="10" s="1"/>
  <c r="C19" i="10"/>
  <c r="T11" i="10"/>
  <c r="U11" i="10" s="1"/>
  <c r="Q11" i="10"/>
  <c r="R11" i="10"/>
  <c r="I4" i="10"/>
  <c r="J4" i="10" s="1"/>
  <c r="C18" i="10"/>
  <c r="J3" i="10" l="1"/>
  <c r="T12" i="10"/>
  <c r="X9" i="10" s="1"/>
  <c r="E8" i="10"/>
  <c r="E9" i="10" s="1"/>
  <c r="Y9" i="10" l="1"/>
  <c r="T13" i="10"/>
  <c r="X10" i="10" s="1"/>
  <c r="U12" i="10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E6" i="2"/>
  <c r="E7" i="2" s="1"/>
  <c r="E8" i="2" a="1"/>
  <c r="E8" i="2" s="1"/>
  <c r="AE3" i="2"/>
  <c r="AE7" i="2" s="1"/>
  <c r="AF3" i="2"/>
  <c r="AF8" i="2" s="1"/>
  <c r="AG3" i="2"/>
  <c r="AG9" i="2" s="1"/>
  <c r="AH3" i="2"/>
  <c r="AH7" i="2" s="1"/>
  <c r="AI3" i="2"/>
  <c r="AI8" i="2" s="1"/>
  <c r="D7" i="9"/>
  <c r="C12" i="9" s="1"/>
  <c r="E7" i="9"/>
  <c r="T12" i="9" s="1"/>
  <c r="H2" i="2"/>
  <c r="S43" i="9"/>
  <c r="U43" i="9" s="1" a="1"/>
  <c r="U43" i="9" s="1"/>
  <c r="S42" i="9"/>
  <c r="U42" i="9" s="1" a="1"/>
  <c r="U42" i="9" s="1"/>
  <c r="S41" i="9"/>
  <c r="U41" i="9" s="1" a="1"/>
  <c r="U41" i="9" s="1"/>
  <c r="S40" i="9"/>
  <c r="U40" i="9" s="1" a="1"/>
  <c r="U40" i="9" s="1"/>
  <c r="S39" i="9"/>
  <c r="U39" i="9" s="1" a="1"/>
  <c r="U39" i="9" s="1"/>
  <c r="S38" i="9"/>
  <c r="U38" i="9" s="1" a="1"/>
  <c r="U38" i="9" s="1"/>
  <c r="S37" i="9"/>
  <c r="U37" i="9" s="1" a="1"/>
  <c r="U37" i="9" s="1"/>
  <c r="S36" i="9"/>
  <c r="U36" i="9" s="1" a="1"/>
  <c r="U36" i="9" s="1"/>
  <c r="S35" i="9"/>
  <c r="U35" i="9" s="1" a="1"/>
  <c r="U35" i="9" s="1"/>
  <c r="S34" i="9"/>
  <c r="U34" i="9" s="1" a="1"/>
  <c r="U34" i="9" s="1"/>
  <c r="S33" i="9"/>
  <c r="U33" i="9" s="1" a="1"/>
  <c r="U33" i="9" s="1"/>
  <c r="S32" i="9"/>
  <c r="U32" i="9" s="1" a="1"/>
  <c r="U32" i="9" s="1"/>
  <c r="S31" i="9"/>
  <c r="U31" i="9" s="1" a="1"/>
  <c r="U31" i="9" s="1"/>
  <c r="S30" i="9"/>
  <c r="U30" i="9" s="1" a="1"/>
  <c r="U30" i="9" s="1"/>
  <c r="S29" i="9"/>
  <c r="U29" i="9" s="1" a="1"/>
  <c r="U29" i="9" s="1"/>
  <c r="S28" i="9"/>
  <c r="U28" i="9" s="1" a="1"/>
  <c r="U28" i="9" s="1"/>
  <c r="S27" i="9"/>
  <c r="U27" i="9" s="1" a="1"/>
  <c r="U27" i="9" s="1"/>
  <c r="S26" i="9"/>
  <c r="U26" i="9" s="1" a="1"/>
  <c r="U26" i="9" s="1"/>
  <c r="S25" i="9"/>
  <c r="U25" i="9" s="1" a="1"/>
  <c r="U25" i="9" s="1"/>
  <c r="S24" i="9"/>
  <c r="U24" i="9" s="1" a="1"/>
  <c r="U24" i="9" s="1"/>
  <c r="S23" i="9"/>
  <c r="U23" i="9" s="1" a="1"/>
  <c r="U23" i="9" s="1"/>
  <c r="S22" i="9"/>
  <c r="U22" i="9" s="1" a="1"/>
  <c r="U22" i="9" s="1"/>
  <c r="S21" i="9"/>
  <c r="U21" i="9" s="1" a="1"/>
  <c r="U21" i="9" s="1"/>
  <c r="S20" i="9"/>
  <c r="U20" i="9" s="1" a="1"/>
  <c r="U20" i="9" s="1"/>
  <c r="S19" i="9"/>
  <c r="U19" i="9" s="1" a="1"/>
  <c r="U19" i="9" s="1"/>
  <c r="S18" i="9"/>
  <c r="U18" i="9" s="1" a="1"/>
  <c r="U18" i="9" s="1"/>
  <c r="S17" i="9"/>
  <c r="U17" i="9" s="1" a="1"/>
  <c r="U17" i="9" s="1"/>
  <c r="S16" i="9"/>
  <c r="U16" i="9" s="1" a="1"/>
  <c r="U16" i="9" s="1"/>
  <c r="S15" i="9"/>
  <c r="U15" i="9" s="1" a="1"/>
  <c r="U15" i="9" s="1"/>
  <c r="S14" i="9"/>
  <c r="U14" i="9" s="1" a="1"/>
  <c r="U14" i="9" s="1"/>
  <c r="S13" i="9"/>
  <c r="U13" i="9" s="1" a="1"/>
  <c r="U13" i="9" s="1"/>
  <c r="S12" i="9"/>
  <c r="U12" i="9" s="1" a="1"/>
  <c r="U12" i="9" s="1"/>
  <c r="S11" i="9"/>
  <c r="U11" i="9" s="1" a="1"/>
  <c r="U11" i="9" s="1"/>
  <c r="L45" i="9"/>
  <c r="N45" i="9" s="1" a="1"/>
  <c r="N45" i="9" s="1"/>
  <c r="L44" i="9"/>
  <c r="N44" i="9" s="1" a="1"/>
  <c r="N44" i="9" s="1"/>
  <c r="L43" i="9"/>
  <c r="N43" i="9" s="1" a="1"/>
  <c r="N43" i="9" s="1"/>
  <c r="L42" i="9"/>
  <c r="N42" i="9" s="1" a="1"/>
  <c r="N42" i="9" s="1"/>
  <c r="L41" i="9"/>
  <c r="N41" i="9" s="1" a="1"/>
  <c r="N41" i="9" s="1"/>
  <c r="L40" i="9"/>
  <c r="N40" i="9" s="1" a="1"/>
  <c r="N40" i="9" s="1"/>
  <c r="L39" i="9"/>
  <c r="N39" i="9" s="1" a="1"/>
  <c r="N39" i="9" s="1"/>
  <c r="L38" i="9"/>
  <c r="N38" i="9" s="1" a="1"/>
  <c r="N38" i="9" s="1"/>
  <c r="L37" i="9"/>
  <c r="N37" i="9" s="1" a="1"/>
  <c r="N37" i="9" s="1"/>
  <c r="L36" i="9"/>
  <c r="N36" i="9" s="1" a="1"/>
  <c r="N36" i="9" s="1"/>
  <c r="L35" i="9"/>
  <c r="N35" i="9" s="1" a="1"/>
  <c r="N35" i="9" s="1"/>
  <c r="L34" i="9"/>
  <c r="N34" i="9" s="1" a="1"/>
  <c r="N34" i="9" s="1"/>
  <c r="L33" i="9"/>
  <c r="N33" i="9" s="1" a="1"/>
  <c r="N33" i="9" s="1"/>
  <c r="L32" i="9"/>
  <c r="N32" i="9" s="1" a="1"/>
  <c r="N32" i="9" s="1"/>
  <c r="L31" i="9"/>
  <c r="N31" i="9" s="1" a="1"/>
  <c r="N31" i="9" s="1"/>
  <c r="L30" i="9"/>
  <c r="N30" i="9" s="1" a="1"/>
  <c r="N30" i="9" s="1"/>
  <c r="L29" i="9"/>
  <c r="N29" i="9" s="1" a="1"/>
  <c r="N29" i="9" s="1"/>
  <c r="L28" i="9"/>
  <c r="N28" i="9" s="1" a="1"/>
  <c r="N28" i="9" s="1"/>
  <c r="L27" i="9"/>
  <c r="N27" i="9" s="1" a="1"/>
  <c r="N27" i="9" s="1"/>
  <c r="L26" i="9"/>
  <c r="N26" i="9" s="1" a="1"/>
  <c r="N26" i="9" s="1"/>
  <c r="L25" i="9"/>
  <c r="N25" i="9" s="1" a="1"/>
  <c r="N25" i="9" s="1"/>
  <c r="L24" i="9"/>
  <c r="N24" i="9" s="1" a="1"/>
  <c r="N24" i="9" s="1"/>
  <c r="L23" i="9"/>
  <c r="N23" i="9" s="1" a="1"/>
  <c r="N23" i="9" s="1"/>
  <c r="L22" i="9"/>
  <c r="N22" i="9" s="1" a="1"/>
  <c r="N22" i="9" s="1"/>
  <c r="L21" i="9"/>
  <c r="N21" i="9" s="1" a="1"/>
  <c r="N21" i="9" s="1"/>
  <c r="L20" i="9"/>
  <c r="N20" i="9" s="1" a="1"/>
  <c r="N20" i="9" s="1"/>
  <c r="L19" i="9"/>
  <c r="N19" i="9" s="1" a="1"/>
  <c r="N19" i="9" s="1"/>
  <c r="L18" i="9"/>
  <c r="N18" i="9" s="1" a="1"/>
  <c r="N18" i="9" s="1"/>
  <c r="L17" i="9"/>
  <c r="N17" i="9" s="1" a="1"/>
  <c r="N17" i="9" s="1"/>
  <c r="L16" i="9"/>
  <c r="N16" i="9" s="1" a="1"/>
  <c r="N16" i="9" s="1"/>
  <c r="L15" i="9"/>
  <c r="N15" i="9" s="1" a="1"/>
  <c r="N15" i="9" s="1"/>
  <c r="L14" i="9"/>
  <c r="N14" i="9" s="1" a="1"/>
  <c r="N14" i="9" s="1"/>
  <c r="L13" i="9"/>
  <c r="N13" i="9" s="1" a="1"/>
  <c r="N13" i="9" s="1"/>
  <c r="L12" i="9"/>
  <c r="N12" i="9" s="1" a="1"/>
  <c r="N12" i="9" s="1"/>
  <c r="L11" i="9"/>
  <c r="N11" i="9" s="1" a="1"/>
  <c r="N11" i="9" s="1"/>
  <c r="E44" i="9"/>
  <c r="G44" i="9" s="1" a="1"/>
  <c r="G44" i="9" s="1"/>
  <c r="E45" i="9"/>
  <c r="G45" i="9" s="1" a="1"/>
  <c r="G45" i="9" s="1"/>
  <c r="E43" i="9"/>
  <c r="G43" i="9" s="1" a="1"/>
  <c r="G43" i="9" s="1"/>
  <c r="E42" i="9"/>
  <c r="G42" i="9" s="1" a="1"/>
  <c r="G42" i="9" s="1"/>
  <c r="E41" i="9"/>
  <c r="G41" i="9" s="1" a="1"/>
  <c r="G41" i="9" s="1"/>
  <c r="E40" i="9"/>
  <c r="G40" i="9" s="1" a="1"/>
  <c r="G40" i="9" s="1"/>
  <c r="E39" i="9"/>
  <c r="G39" i="9" s="1" a="1"/>
  <c r="G39" i="9" s="1"/>
  <c r="E38" i="9"/>
  <c r="G38" i="9" s="1" a="1"/>
  <c r="G38" i="9" s="1"/>
  <c r="E37" i="9"/>
  <c r="G37" i="9" s="1" a="1"/>
  <c r="G37" i="9" s="1"/>
  <c r="E36" i="9"/>
  <c r="G36" i="9" s="1" a="1"/>
  <c r="G36" i="9" s="1"/>
  <c r="E35" i="9"/>
  <c r="G35" i="9" s="1" a="1"/>
  <c r="G35" i="9" s="1"/>
  <c r="E34" i="9"/>
  <c r="G34" i="9" s="1" a="1"/>
  <c r="G34" i="9" s="1"/>
  <c r="E33" i="9"/>
  <c r="G33" i="9" s="1" a="1"/>
  <c r="G33" i="9" s="1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E8" i="7" a="1"/>
  <c r="E8" i="7" s="1"/>
  <c r="I9" i="7"/>
  <c r="J9" i="7"/>
  <c r="K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I8" i="7"/>
  <c r="J8" i="7"/>
  <c r="K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H9" i="7"/>
  <c r="H8" i="7"/>
  <c r="I7" i="7"/>
  <c r="J7" i="7"/>
  <c r="K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H7" i="7"/>
  <c r="J6" i="7"/>
  <c r="K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I6" i="7"/>
  <c r="H6" i="7"/>
  <c r="I3" i="7"/>
  <c r="J3" i="7"/>
  <c r="K3" i="7"/>
  <c r="K5" i="7" s="1" a="1"/>
  <c r="K5" i="7" s="1"/>
  <c r="M3" i="7"/>
  <c r="M5" i="7" s="1" a="1"/>
  <c r="M5" i="7" s="1"/>
  <c r="N3" i="7"/>
  <c r="N5" i="7" s="1" a="1"/>
  <c r="N5" i="7" s="1"/>
  <c r="O3" i="7"/>
  <c r="O5" i="7" s="1" a="1"/>
  <c r="O5" i="7" s="1"/>
  <c r="P3" i="7"/>
  <c r="Q3" i="7"/>
  <c r="Q5" i="7" s="1" a="1"/>
  <c r="Q5" i="7" s="1"/>
  <c r="R3" i="7"/>
  <c r="R5" i="7" s="1" a="1"/>
  <c r="R5" i="7" s="1"/>
  <c r="S3" i="7"/>
  <c r="S5" i="7" s="1" a="1"/>
  <c r="S5" i="7" s="1"/>
  <c r="T3" i="7"/>
  <c r="T5" i="7" s="1" a="1"/>
  <c r="T5" i="7" s="1"/>
  <c r="U3" i="7"/>
  <c r="V3" i="7"/>
  <c r="V5" i="7" s="1" a="1"/>
  <c r="V5" i="7" s="1"/>
  <c r="W3" i="7"/>
  <c r="W5" i="7" s="1" a="1"/>
  <c r="W5" i="7" s="1"/>
  <c r="X3" i="7"/>
  <c r="X5" i="7" s="1" a="1"/>
  <c r="X5" i="7" s="1"/>
  <c r="Y3" i="7"/>
  <c r="Y5" i="7" s="1" a="1"/>
  <c r="Y5" i="7" s="1"/>
  <c r="Z3" i="7"/>
  <c r="Z5" i="7" s="1" a="1"/>
  <c r="Z5" i="7" s="1"/>
  <c r="AA3" i="7"/>
  <c r="AA5" i="7" s="1" a="1"/>
  <c r="AA5" i="7" s="1"/>
  <c r="AB3" i="7"/>
  <c r="AB5" i="7" s="1" a="1"/>
  <c r="AB5" i="7" s="1"/>
  <c r="AC3" i="7"/>
  <c r="AC5" i="7" s="1" a="1"/>
  <c r="AC5" i="7" s="1"/>
  <c r="AD3" i="7"/>
  <c r="AD5" i="7" s="1" a="1"/>
  <c r="AD5" i="7" s="1"/>
  <c r="AE3" i="7"/>
  <c r="AE5" i="7" s="1" a="1"/>
  <c r="AE5" i="7" s="1"/>
  <c r="AF3" i="7"/>
  <c r="AF5" i="7" s="1" a="1"/>
  <c r="AF5" i="7" s="1"/>
  <c r="AG3" i="7"/>
  <c r="AG5" i="7" s="1" a="1"/>
  <c r="AG5" i="7" s="1"/>
  <c r="AH3" i="7"/>
  <c r="AH5" i="7" s="1" a="1"/>
  <c r="AH5" i="7" s="1"/>
  <c r="AI3" i="7"/>
  <c r="AI5" i="7" s="1" a="1"/>
  <c r="AI5" i="7" s="1"/>
  <c r="AJ3" i="7"/>
  <c r="AJ5" i="7" s="1" a="1"/>
  <c r="AJ5" i="7" s="1"/>
  <c r="AK3" i="7"/>
  <c r="AK5" i="7" s="1" a="1"/>
  <c r="AK5" i="7" s="1"/>
  <c r="AL3" i="7"/>
  <c r="AL5" i="7" s="1" a="1"/>
  <c r="AL5" i="7" s="1"/>
  <c r="AM3" i="7"/>
  <c r="AM5" i="7" s="1" a="1"/>
  <c r="AM5" i="7" s="1"/>
  <c r="AN3" i="7"/>
  <c r="AN5" i="7" s="1" a="1"/>
  <c r="AN5" i="7" s="1"/>
  <c r="AO3" i="7"/>
  <c r="AO5" i="7" s="1" a="1"/>
  <c r="AO5" i="7" s="1"/>
  <c r="AP3" i="7"/>
  <c r="AP5" i="7" s="1" a="1"/>
  <c r="AP5" i="7" s="1"/>
  <c r="AQ3" i="7"/>
  <c r="AQ5" i="7" s="1" a="1"/>
  <c r="AQ5" i="7" s="1"/>
  <c r="AR3" i="7"/>
  <c r="AR5" i="7" s="1" a="1"/>
  <c r="AR5" i="7" s="1"/>
  <c r="AS3" i="7"/>
  <c r="AS5" i="7" s="1" a="1"/>
  <c r="AS5" i="7" s="1"/>
  <c r="AT3" i="7"/>
  <c r="AT5" i="7" s="1" a="1"/>
  <c r="AT5" i="7" s="1"/>
  <c r="AU3" i="7"/>
  <c r="AU5" i="7" s="1" a="1"/>
  <c r="AU5" i="7" s="1"/>
  <c r="AV3" i="7"/>
  <c r="AV5" i="7" s="1" a="1"/>
  <c r="AV5" i="7" s="1"/>
  <c r="AW3" i="7"/>
  <c r="AW5" i="7" s="1" a="1"/>
  <c r="AW5" i="7" s="1"/>
  <c r="AX3" i="7"/>
  <c r="AX5" i="7" s="1" a="1"/>
  <c r="AX5" i="7" s="1"/>
  <c r="AY3" i="7"/>
  <c r="AY5" i="7" s="1" a="1"/>
  <c r="AY5" i="7" s="1"/>
  <c r="AZ3" i="7"/>
  <c r="AZ5" i="7" s="1" a="1"/>
  <c r="AZ5" i="7" s="1"/>
  <c r="BA3" i="7"/>
  <c r="BA5" i="7" s="1" a="1"/>
  <c r="BA5" i="7" s="1"/>
  <c r="BB3" i="7"/>
  <c r="BB5" i="7" s="1" a="1"/>
  <c r="BB5" i="7" s="1"/>
  <c r="BC3" i="7"/>
  <c r="BC5" i="7" s="1" a="1"/>
  <c r="BC5" i="7" s="1"/>
  <c r="BD3" i="7"/>
  <c r="BD5" i="7" s="1" a="1"/>
  <c r="BD5" i="7" s="1"/>
  <c r="BE3" i="7"/>
  <c r="BE5" i="7" s="1" a="1"/>
  <c r="BE5" i="7" s="1"/>
  <c r="BF3" i="7"/>
  <c r="BF5" i="7" s="1" a="1"/>
  <c r="BF5" i="7" s="1"/>
  <c r="BG3" i="7"/>
  <c r="BG5" i="7" s="1" a="1"/>
  <c r="BG5" i="7" s="1"/>
  <c r="BH3" i="7"/>
  <c r="BH5" i="7" s="1" a="1"/>
  <c r="BH5" i="7" s="1"/>
  <c r="BI3" i="7"/>
  <c r="BI5" i="7" s="1" a="1"/>
  <c r="BI5" i="7" s="1"/>
  <c r="BJ3" i="7"/>
  <c r="BJ5" i="7" s="1" a="1"/>
  <c r="BJ5" i="7" s="1"/>
  <c r="BK3" i="7"/>
  <c r="BK5" i="7" s="1" a="1"/>
  <c r="BK5" i="7" s="1"/>
  <c r="BL3" i="7"/>
  <c r="BL5" i="7" s="1" a="1"/>
  <c r="BL5" i="7" s="1"/>
  <c r="BM3" i="7"/>
  <c r="BM5" i="7" s="1" a="1"/>
  <c r="BM5" i="7" s="1"/>
  <c r="BN3" i="7"/>
  <c r="BN5" i="7" s="1" a="1"/>
  <c r="BN5" i="7" s="1"/>
  <c r="BO3" i="7"/>
  <c r="BO5" i="7" s="1" a="1"/>
  <c r="BO5" i="7" s="1"/>
  <c r="BP3" i="7"/>
  <c r="BP5" i="7" s="1" a="1"/>
  <c r="BP5" i="7" s="1"/>
  <c r="BQ3" i="7"/>
  <c r="BQ5" i="7" s="1" a="1"/>
  <c r="BQ5" i="7" s="1"/>
  <c r="BR3" i="7"/>
  <c r="BR5" i="7" s="1" a="1"/>
  <c r="BR5" i="7" s="1"/>
  <c r="BS3" i="7"/>
  <c r="BS5" i="7" s="1" a="1"/>
  <c r="BS5" i="7" s="1"/>
  <c r="BT3" i="7"/>
  <c r="BT5" i="7" s="1" a="1"/>
  <c r="BT5" i="7" s="1"/>
  <c r="BU3" i="7"/>
  <c r="BU5" i="7" s="1" a="1"/>
  <c r="BU5" i="7" s="1"/>
  <c r="BV3" i="7"/>
  <c r="BV5" i="7" s="1" a="1"/>
  <c r="BV5" i="7" s="1"/>
  <c r="BW3" i="7"/>
  <c r="BW5" i="7" s="1" a="1"/>
  <c r="BW5" i="7" s="1"/>
  <c r="BX3" i="7"/>
  <c r="BX5" i="7" s="1" a="1"/>
  <c r="BX5" i="7" s="1"/>
  <c r="BY3" i="7"/>
  <c r="BY5" i="7" s="1" a="1"/>
  <c r="BY5" i="7" s="1"/>
  <c r="BZ3" i="7"/>
  <c r="BZ5" i="7" s="1" a="1"/>
  <c r="BZ5" i="7" s="1"/>
  <c r="CA3" i="7"/>
  <c r="CA5" i="7" s="1" a="1"/>
  <c r="CA5" i="7" s="1"/>
  <c r="CB3" i="7"/>
  <c r="CB5" i="7" s="1" a="1"/>
  <c r="CB5" i="7" s="1"/>
  <c r="CC3" i="7"/>
  <c r="CC5" i="7" s="1" a="1"/>
  <c r="CC5" i="7" s="1"/>
  <c r="CD3" i="7"/>
  <c r="CD5" i="7" s="1" a="1"/>
  <c r="CD5" i="7" s="1"/>
  <c r="CE3" i="7"/>
  <c r="CE5" i="7" s="1" a="1"/>
  <c r="CE5" i="7" s="1"/>
  <c r="CF3" i="7"/>
  <c r="CF5" i="7" s="1" a="1"/>
  <c r="CF5" i="7" s="1"/>
  <c r="CG3" i="7"/>
  <c r="CG5" i="7" s="1" a="1"/>
  <c r="CG5" i="7" s="1"/>
  <c r="CH3" i="7"/>
  <c r="CH5" i="7" s="1" a="1"/>
  <c r="CH5" i="7" s="1"/>
  <c r="CI3" i="7"/>
  <c r="CI5" i="7" s="1" a="1"/>
  <c r="CI5" i="7" s="1"/>
  <c r="CJ3" i="7"/>
  <c r="CJ5" i="7" s="1" a="1"/>
  <c r="CJ5" i="7" s="1"/>
  <c r="CK3" i="7"/>
  <c r="CK5" i="7" s="1" a="1"/>
  <c r="CK5" i="7" s="1"/>
  <c r="CL3" i="7"/>
  <c r="CL5" i="7" s="1" a="1"/>
  <c r="CL5" i="7" s="1"/>
  <c r="CM3" i="7"/>
  <c r="CM5" i="7" s="1" a="1"/>
  <c r="CM5" i="7" s="1"/>
  <c r="CN3" i="7"/>
  <c r="CN5" i="7" s="1" a="1"/>
  <c r="CN5" i="7" s="1"/>
  <c r="CO3" i="7"/>
  <c r="CO5" i="7" s="1" a="1"/>
  <c r="CO5" i="7" s="1"/>
  <c r="I5" i="7" a="1"/>
  <c r="I5" i="7" s="1"/>
  <c r="J5" i="7" a="1"/>
  <c r="J5" i="7" s="1"/>
  <c r="P5" i="7" a="1"/>
  <c r="P5" i="7" s="1"/>
  <c r="U5" i="7" a="1"/>
  <c r="U5" i="7" s="1"/>
  <c r="H3" i="7"/>
  <c r="H5" i="7" s="1" a="1"/>
  <c r="H5" i="7" s="1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BC2" i="7"/>
  <c r="BD2" i="7"/>
  <c r="BE2" i="7"/>
  <c r="BF2" i="7"/>
  <c r="BG2" i="7"/>
  <c r="BH2" i="7"/>
  <c r="BI2" i="7"/>
  <c r="BJ2" i="7"/>
  <c r="BK2" i="7"/>
  <c r="BL2" i="7"/>
  <c r="BM2" i="7"/>
  <c r="BN2" i="7"/>
  <c r="BO2" i="7"/>
  <c r="BP2" i="7"/>
  <c r="BQ2" i="7"/>
  <c r="BR2" i="7"/>
  <c r="BS2" i="7"/>
  <c r="BT2" i="7"/>
  <c r="BU2" i="7"/>
  <c r="BV2" i="7"/>
  <c r="BW2" i="7"/>
  <c r="BX2" i="7"/>
  <c r="BY2" i="7"/>
  <c r="BZ2" i="7"/>
  <c r="CA2" i="7"/>
  <c r="CB2" i="7"/>
  <c r="CC2" i="7"/>
  <c r="CD2" i="7"/>
  <c r="CE2" i="7"/>
  <c r="CF2" i="7"/>
  <c r="CG2" i="7"/>
  <c r="CH2" i="7"/>
  <c r="CI2" i="7"/>
  <c r="CJ2" i="7"/>
  <c r="CK2" i="7"/>
  <c r="CL2" i="7"/>
  <c r="CM2" i="7"/>
  <c r="CN2" i="7"/>
  <c r="CO2" i="7"/>
  <c r="H2" i="7"/>
  <c r="Z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K10" i="7"/>
  <c r="J10" i="7"/>
  <c r="I10" i="7"/>
  <c r="H10" i="7"/>
  <c r="E6" i="7"/>
  <c r="E7" i="7" s="1"/>
  <c r="Z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L2" i="2"/>
  <c r="M2" i="2"/>
  <c r="I2" i="2"/>
  <c r="J2" i="2"/>
  <c r="K2" i="2"/>
  <c r="I3" i="2"/>
  <c r="I8" i="2" s="1"/>
  <c r="J3" i="2"/>
  <c r="J8" i="2" s="1"/>
  <c r="K3" i="2"/>
  <c r="K8" i="2" s="1"/>
  <c r="L3" i="2"/>
  <c r="L9" i="2" s="1"/>
  <c r="M3" i="2"/>
  <c r="M9" i="2" s="1"/>
  <c r="N3" i="2"/>
  <c r="N8" i="2" s="1"/>
  <c r="O3" i="2"/>
  <c r="O7" i="2" s="1"/>
  <c r="P3" i="2"/>
  <c r="P9" i="2" s="1"/>
  <c r="Q3" i="2"/>
  <c r="Q7" i="2" s="1"/>
  <c r="R3" i="2"/>
  <c r="R9" i="2" s="1"/>
  <c r="S3" i="2"/>
  <c r="S9" i="2" s="1"/>
  <c r="T3" i="2"/>
  <c r="T9" i="2" s="1"/>
  <c r="U3" i="2"/>
  <c r="U9" i="2" s="1"/>
  <c r="V3" i="2"/>
  <c r="V8" i="2" s="1"/>
  <c r="W3" i="2"/>
  <c r="W7" i="2" s="1"/>
  <c r="X3" i="2"/>
  <c r="X8" i="2" s="1"/>
  <c r="Y3" i="2"/>
  <c r="Y9" i="2" s="1"/>
  <c r="AC3" i="2"/>
  <c r="AC7" i="2" s="1"/>
  <c r="AD3" i="2"/>
  <c r="AD9" i="2" s="1"/>
  <c r="AJ3" i="2"/>
  <c r="AJ8" i="2" s="1"/>
  <c r="AK3" i="2"/>
  <c r="AK7" i="2" s="1"/>
  <c r="AL3" i="2"/>
  <c r="AL7" i="2" s="1"/>
  <c r="AM3" i="2"/>
  <c r="AM7" i="2" s="1"/>
  <c r="AN3" i="2"/>
  <c r="AO3" i="2"/>
  <c r="AO8" i="2" s="1"/>
  <c r="AP3" i="2"/>
  <c r="AP9" i="2" s="1"/>
  <c r="AQ3" i="2"/>
  <c r="AQ9" i="2" s="1"/>
  <c r="AR3" i="2"/>
  <c r="AS3" i="2"/>
  <c r="AS9" i="2" s="1"/>
  <c r="AT3" i="2"/>
  <c r="AT8" i="2" s="1"/>
  <c r="AU3" i="2"/>
  <c r="AU7" i="2" s="1"/>
  <c r="AV3" i="2"/>
  <c r="AV8" i="2" s="1"/>
  <c r="AW3" i="2"/>
  <c r="AW7" i="2" s="1"/>
  <c r="AX3" i="2"/>
  <c r="AX8" i="2" s="1"/>
  <c r="AY3" i="2"/>
  <c r="AY7" i="2" s="1"/>
  <c r="AZ3" i="2"/>
  <c r="AZ9" i="2" s="1"/>
  <c r="BA3" i="2"/>
  <c r="BA7" i="2" s="1"/>
  <c r="BB3" i="2"/>
  <c r="BB9" i="2" s="1"/>
  <c r="BC3" i="2"/>
  <c r="BC9" i="2" s="1"/>
  <c r="BD3" i="2"/>
  <c r="BD9" i="2" s="1"/>
  <c r="BE3" i="2"/>
  <c r="BE7" i="2" s="1"/>
  <c r="BF3" i="2"/>
  <c r="BF9" i="2" s="1"/>
  <c r="BG3" i="2"/>
  <c r="BG7" i="2" s="1"/>
  <c r="BH3" i="2"/>
  <c r="BH8" i="2" s="1"/>
  <c r="BI3" i="2"/>
  <c r="BI7" i="2" s="1"/>
  <c r="BJ3" i="2"/>
  <c r="BJ9" i="2" s="1"/>
  <c r="BK3" i="2"/>
  <c r="BK7" i="2" s="1"/>
  <c r="BL3" i="2"/>
  <c r="BL7" i="2" s="1"/>
  <c r="BM3" i="2"/>
  <c r="BM9" i="2" s="1"/>
  <c r="BN3" i="2"/>
  <c r="BN8" i="2" s="1"/>
  <c r="BO3" i="2"/>
  <c r="BO9" i="2" s="1"/>
  <c r="BP3" i="2"/>
  <c r="BP7" i="2" s="1"/>
  <c r="BQ3" i="2"/>
  <c r="BQ7" i="2" s="1"/>
  <c r="BR3" i="2"/>
  <c r="BR8" i="2" s="1"/>
  <c r="BS3" i="2"/>
  <c r="BS9" i="2" s="1"/>
  <c r="BT3" i="2"/>
  <c r="BT9" i="2" s="1"/>
  <c r="BU3" i="2"/>
  <c r="BU8" i="2" s="1"/>
  <c r="BV3" i="2"/>
  <c r="BV9" i="2" s="1"/>
  <c r="BW3" i="2"/>
  <c r="BW7" i="2" s="1"/>
  <c r="BX3" i="2"/>
  <c r="BX8" i="2" s="1"/>
  <c r="BY3" i="2"/>
  <c r="BY9" i="2" s="1"/>
  <c r="BZ3" i="2"/>
  <c r="BZ9" i="2" s="1"/>
  <c r="CA3" i="2"/>
  <c r="CA7" i="2" s="1"/>
  <c r="CB3" i="2"/>
  <c r="CB8" i="2" s="1"/>
  <c r="CC3" i="2"/>
  <c r="CC7" i="2" s="1"/>
  <c r="CD3" i="2"/>
  <c r="CD8" i="2" s="1"/>
  <c r="CE3" i="2"/>
  <c r="CE7" i="2" s="1"/>
  <c r="CF3" i="2"/>
  <c r="CF7" i="2" s="1"/>
  <c r="CG3" i="2"/>
  <c r="CG9" i="2" s="1"/>
  <c r="CH3" i="2"/>
  <c r="CH8" i="2" s="1"/>
  <c r="CI3" i="2"/>
  <c r="CI9" i="2" s="1"/>
  <c r="CJ3" i="2"/>
  <c r="CK3" i="2"/>
  <c r="CK7" i="2" s="1"/>
  <c r="CL3" i="2"/>
  <c r="CL9" i="2" s="1"/>
  <c r="CM3" i="2"/>
  <c r="CM7" i="2" s="1"/>
  <c r="CN3" i="2"/>
  <c r="CN8" i="2" s="1"/>
  <c r="CO3" i="2"/>
  <c r="CO8" i="2" s="1"/>
  <c r="CP3" i="2"/>
  <c r="CP9" i="2" s="1"/>
  <c r="CQ3" i="2"/>
  <c r="CR3" i="2"/>
  <c r="CR8" i="2" s="1"/>
  <c r="CS3" i="2"/>
  <c r="CS9" i="2" s="1"/>
  <c r="CT3" i="2"/>
  <c r="CT8" i="2" s="1"/>
  <c r="CU3" i="2"/>
  <c r="CV3" i="2"/>
  <c r="CV9" i="2" s="1"/>
  <c r="CW3" i="2"/>
  <c r="CW7" i="2" s="1"/>
  <c r="CX3" i="2"/>
  <c r="CX9" i="2" s="1"/>
  <c r="CY3" i="2"/>
  <c r="CY8" i="2" s="1"/>
  <c r="CZ3" i="2"/>
  <c r="CZ9" i="2" s="1"/>
  <c r="DA3" i="2"/>
  <c r="DA9" i="2" s="1"/>
  <c r="DB3" i="2"/>
  <c r="DB9" i="2" s="1"/>
  <c r="DC3" i="2"/>
  <c r="DC9" i="2" s="1"/>
  <c r="DD3" i="2"/>
  <c r="DD7" i="2" s="1"/>
  <c r="DE3" i="2"/>
  <c r="DE8" i="2" s="1"/>
  <c r="DF3" i="2"/>
  <c r="DF7" i="2" s="1"/>
  <c r="AH9" i="2"/>
  <c r="AT9" i="2"/>
  <c r="R8" i="2"/>
  <c r="N7" i="2"/>
  <c r="M8" i="2"/>
  <c r="CT9" i="2"/>
  <c r="CL7" i="2"/>
  <c r="AC8" i="2"/>
  <c r="AA3" i="2"/>
  <c r="AA7" i="2" s="1"/>
  <c r="AA10" i="2"/>
  <c r="Z3" i="2"/>
  <c r="Z8" i="2" s="1"/>
  <c r="AB10" i="2"/>
  <c r="AB3" i="2"/>
  <c r="AB7" i="2" s="1"/>
  <c r="AE9" i="2" l="1"/>
  <c r="M33" i="9"/>
  <c r="T23" i="9"/>
  <c r="M30" i="9"/>
  <c r="T19" i="9"/>
  <c r="T43" i="9"/>
  <c r="T42" i="9"/>
  <c r="M42" i="9"/>
  <c r="M22" i="9"/>
  <c r="T34" i="9"/>
  <c r="M41" i="9"/>
  <c r="M18" i="9"/>
  <c r="T31" i="9"/>
  <c r="M38" i="9"/>
  <c r="M26" i="9"/>
  <c r="M17" i="9"/>
  <c r="T39" i="9"/>
  <c r="T27" i="9"/>
  <c r="T18" i="9"/>
  <c r="M11" i="9"/>
  <c r="M34" i="9"/>
  <c r="M25" i="9"/>
  <c r="M14" i="9"/>
  <c r="T35" i="9"/>
  <c r="T26" i="9"/>
  <c r="T15" i="9"/>
  <c r="U13" i="10"/>
  <c r="Y10" i="10"/>
  <c r="T14" i="10"/>
  <c r="X11" i="10" s="1"/>
  <c r="O9" i="2"/>
  <c r="S8" i="2"/>
  <c r="D22" i="9" s="1"/>
  <c r="DB8" i="2"/>
  <c r="K7" i="2"/>
  <c r="K5" i="2" s="1"/>
  <c r="K9" i="2"/>
  <c r="AY9" i="2"/>
  <c r="O8" i="2"/>
  <c r="D18" i="9" s="1"/>
  <c r="S7" i="2"/>
  <c r="AF9" i="2"/>
  <c r="CV7" i="2"/>
  <c r="CD9" i="2"/>
  <c r="AP8" i="2"/>
  <c r="V7" i="2"/>
  <c r="V5" i="2" s="1"/>
  <c r="BN7" i="2"/>
  <c r="K34" i="9" s="1"/>
  <c r="CP7" i="2"/>
  <c r="M7" i="2"/>
  <c r="M5" i="2" s="1"/>
  <c r="CH7" i="2"/>
  <c r="CH5" i="2" s="1"/>
  <c r="CD7" i="2"/>
  <c r="R15" i="9" s="1"/>
  <c r="AE8" i="2"/>
  <c r="D34" i="9" s="1"/>
  <c r="AI7" i="2"/>
  <c r="AI5" i="2" s="1"/>
  <c r="N9" i="2"/>
  <c r="AP7" i="2"/>
  <c r="AC9" i="2"/>
  <c r="CL8" i="2"/>
  <c r="CL5" i="2" s="1"/>
  <c r="CT7" i="2"/>
  <c r="R31" i="9" s="1"/>
  <c r="AX7" i="2"/>
  <c r="AX5" i="2" s="1"/>
  <c r="AT7" i="2"/>
  <c r="K14" i="9" s="1"/>
  <c r="CH9" i="2"/>
  <c r="AI9" i="2"/>
  <c r="R7" i="2"/>
  <c r="D21" i="9" s="1"/>
  <c r="V9" i="2"/>
  <c r="AX9" i="2"/>
  <c r="AL9" i="2"/>
  <c r="CP8" i="2"/>
  <c r="DB7" i="2"/>
  <c r="R39" i="9" s="1"/>
  <c r="X7" i="2"/>
  <c r="X5" i="2" s="1"/>
  <c r="BH7" i="2"/>
  <c r="BH5" i="2" s="1"/>
  <c r="BP9" i="2"/>
  <c r="AJ7" i="2"/>
  <c r="D39" i="9" s="1"/>
  <c r="AG6" i="2"/>
  <c r="AV7" i="2"/>
  <c r="AV5" i="2" s="1"/>
  <c r="CR7" i="2"/>
  <c r="R29" i="9" s="1"/>
  <c r="CA9" i="2"/>
  <c r="BE8" i="2"/>
  <c r="BE5" i="2" s="1"/>
  <c r="AB9" i="2"/>
  <c r="DE9" i="2"/>
  <c r="X9" i="2"/>
  <c r="AJ9" i="2"/>
  <c r="BH9" i="2"/>
  <c r="CB7" i="2"/>
  <c r="CB5" i="2" s="1"/>
  <c r="P8" i="2"/>
  <c r="CN7" i="2"/>
  <c r="CN5" i="2" s="1"/>
  <c r="BY7" i="2"/>
  <c r="AO7" i="2"/>
  <c r="D44" i="9" s="1"/>
  <c r="BA9" i="2"/>
  <c r="CS7" i="2"/>
  <c r="BA8" i="2"/>
  <c r="K21" i="9" s="1"/>
  <c r="DE7" i="2"/>
  <c r="DE5" i="2" s="1"/>
  <c r="BM7" i="2"/>
  <c r="BE9" i="2"/>
  <c r="AC6" i="2"/>
  <c r="AW9" i="2"/>
  <c r="BK9" i="2"/>
  <c r="BD7" i="2"/>
  <c r="AS7" i="2"/>
  <c r="AW8" i="2"/>
  <c r="K17" i="9" s="1"/>
  <c r="U8" i="2"/>
  <c r="CM8" i="2"/>
  <c r="CM5" i="2" s="1"/>
  <c r="BD8" i="2"/>
  <c r="U7" i="2"/>
  <c r="AS8" i="2"/>
  <c r="CA8" i="2"/>
  <c r="CA5" i="2" s="1"/>
  <c r="Z7" i="2"/>
  <c r="D29" i="9" s="1"/>
  <c r="AD7" i="2"/>
  <c r="Q6" i="2"/>
  <c r="CW9" i="2"/>
  <c r="CW8" i="2"/>
  <c r="CW5" i="2" s="1"/>
  <c r="CK8" i="2"/>
  <c r="CK5" i="2" s="1"/>
  <c r="BU7" i="2"/>
  <c r="K41" i="9" s="1"/>
  <c r="W9" i="2"/>
  <c r="AM9" i="2"/>
  <c r="DC8" i="2"/>
  <c r="CN9" i="2"/>
  <c r="CV8" i="2"/>
  <c r="Q8" i="2"/>
  <c r="D20" i="9" s="1"/>
  <c r="CK9" i="2"/>
  <c r="W8" i="2"/>
  <c r="W5" i="2" s="1"/>
  <c r="AM8" i="2"/>
  <c r="D42" i="9" s="1"/>
  <c r="AB8" i="2"/>
  <c r="D31" i="9" s="1"/>
  <c r="AD8" i="2"/>
  <c r="AD5" i="2" s="1"/>
  <c r="CS8" i="2"/>
  <c r="CS5" i="2" s="1"/>
  <c r="Q9" i="2"/>
  <c r="CG8" i="2"/>
  <c r="AG8" i="2"/>
  <c r="Y7" i="2"/>
  <c r="BQ9" i="2"/>
  <c r="AO9" i="2"/>
  <c r="CM9" i="2"/>
  <c r="BX7" i="2"/>
  <c r="K44" i="9" s="1"/>
  <c r="CB9" i="2"/>
  <c r="AG7" i="2"/>
  <c r="M6" i="2"/>
  <c r="CV6" i="2"/>
  <c r="CN6" i="2"/>
  <c r="CB6" i="2"/>
  <c r="BX6" i="2"/>
  <c r="BT6" i="2"/>
  <c r="BH6" i="2"/>
  <c r="AJ6" i="2"/>
  <c r="X6" i="2"/>
  <c r="BQ8" i="2"/>
  <c r="K37" i="9" s="1"/>
  <c r="Y8" i="2"/>
  <c r="BX9" i="2"/>
  <c r="BU9" i="2"/>
  <c r="CF9" i="2"/>
  <c r="DF9" i="2"/>
  <c r="DF8" i="2"/>
  <c r="DF5" i="2" s="1"/>
  <c r="D17" i="9"/>
  <c r="N5" i="2"/>
  <c r="CJ8" i="2"/>
  <c r="CJ7" i="2"/>
  <c r="AL8" i="2"/>
  <c r="D41" i="9" s="1"/>
  <c r="BN9" i="2"/>
  <c r="CC8" i="2"/>
  <c r="CC5" i="2" s="1"/>
  <c r="AC5" i="2"/>
  <c r="D32" i="9"/>
  <c r="CY9" i="2"/>
  <c r="CY7" i="2"/>
  <c r="CU9" i="2"/>
  <c r="CU8" i="2"/>
  <c r="CQ8" i="2"/>
  <c r="CQ7" i="2"/>
  <c r="AU8" i="2"/>
  <c r="K15" i="9" s="1"/>
  <c r="AU9" i="2"/>
  <c r="AR8" i="2"/>
  <c r="AR7" i="2"/>
  <c r="AA8" i="2"/>
  <c r="D30" i="9" s="1"/>
  <c r="Z9" i="2"/>
  <c r="J7" i="2"/>
  <c r="BB8" i="2"/>
  <c r="BI9" i="2"/>
  <c r="CG7" i="2"/>
  <c r="AK8" i="2"/>
  <c r="D40" i="9" s="1"/>
  <c r="DA8" i="2"/>
  <c r="D14" i="9"/>
  <c r="CQ9" i="2"/>
  <c r="DA7" i="2"/>
  <c r="CX7" i="2"/>
  <c r="CX8" i="2"/>
  <c r="CE9" i="2"/>
  <c r="CE8" i="2"/>
  <c r="CE5" i="2" s="1"/>
  <c r="BW8" i="2"/>
  <c r="BW5" i="2" s="1"/>
  <c r="BW9" i="2"/>
  <c r="BT7" i="2"/>
  <c r="BT8" i="2"/>
  <c r="AN7" i="2"/>
  <c r="AN8" i="2"/>
  <c r="D16" i="9"/>
  <c r="AA9" i="2"/>
  <c r="AE5" i="2"/>
  <c r="CJ9" i="2"/>
  <c r="J9" i="2"/>
  <c r="BB7" i="2"/>
  <c r="R23" i="9"/>
  <c r="BI8" i="2"/>
  <c r="K29" i="9" s="1"/>
  <c r="BY8" i="2"/>
  <c r="AK9" i="2"/>
  <c r="CU7" i="2"/>
  <c r="P7" i="2"/>
  <c r="DD8" i="2"/>
  <c r="DD5" i="2" s="1"/>
  <c r="DD9" i="2"/>
  <c r="CO7" i="2"/>
  <c r="CO9" i="2"/>
  <c r="BG8" i="2"/>
  <c r="BG5" i="2" s="1"/>
  <c r="BG9" i="2"/>
  <c r="AZ8" i="2"/>
  <c r="AZ7" i="2"/>
  <c r="T8" i="2"/>
  <c r="T7" i="2"/>
  <c r="L7" i="2"/>
  <c r="L8" i="2"/>
  <c r="DD6" i="2"/>
  <c r="CJ6" i="2"/>
  <c r="BD6" i="2"/>
  <c r="AZ6" i="2"/>
  <c r="P6" i="2"/>
  <c r="DE6" i="2"/>
  <c r="DA6" i="2"/>
  <c r="CW6" i="2"/>
  <c r="CS6" i="2"/>
  <c r="CO6" i="2"/>
  <c r="CK6" i="2"/>
  <c r="CG6" i="2"/>
  <c r="BY6" i="2"/>
  <c r="BU6" i="2"/>
  <c r="BI6" i="2"/>
  <c r="BE6" i="2"/>
  <c r="BA6" i="2"/>
  <c r="AW6" i="2"/>
  <c r="AS6" i="2"/>
  <c r="AO6" i="2"/>
  <c r="Y6" i="2"/>
  <c r="U6" i="2"/>
  <c r="CZ8" i="2"/>
  <c r="AI6" i="2"/>
  <c r="AE6" i="2"/>
  <c r="BR7" i="2"/>
  <c r="AQ8" i="2"/>
  <c r="AN9" i="2"/>
  <c r="AQ7" i="2"/>
  <c r="AK6" i="2"/>
  <c r="AN6" i="2"/>
  <c r="BO8" i="2"/>
  <c r="BK8" i="2"/>
  <c r="BO7" i="2"/>
  <c r="BQ6" i="2"/>
  <c r="AR9" i="2"/>
  <c r="AR6" i="2"/>
  <c r="M45" i="9"/>
  <c r="M37" i="9"/>
  <c r="M29" i="9"/>
  <c r="M21" i="9"/>
  <c r="M13" i="9"/>
  <c r="T38" i="9"/>
  <c r="T30" i="9"/>
  <c r="T22" i="9"/>
  <c r="T14" i="9"/>
  <c r="F43" i="9"/>
  <c r="M44" i="9"/>
  <c r="M40" i="9"/>
  <c r="M36" i="9"/>
  <c r="M32" i="9"/>
  <c r="M28" i="9"/>
  <c r="M24" i="9"/>
  <c r="M20" i="9"/>
  <c r="M16" i="9"/>
  <c r="M12" i="9"/>
  <c r="T41" i="9"/>
  <c r="T37" i="9"/>
  <c r="T33" i="9"/>
  <c r="T29" i="9"/>
  <c r="T25" i="9"/>
  <c r="T21" i="9"/>
  <c r="T17" i="9"/>
  <c r="T13" i="9"/>
  <c r="F38" i="9"/>
  <c r="M43" i="9"/>
  <c r="M39" i="9"/>
  <c r="M35" i="9"/>
  <c r="M31" i="9"/>
  <c r="M27" i="9"/>
  <c r="M23" i="9"/>
  <c r="M19" i="9"/>
  <c r="M15" i="9"/>
  <c r="T11" i="9"/>
  <c r="T40" i="9"/>
  <c r="T36" i="9"/>
  <c r="T32" i="9"/>
  <c r="T28" i="9"/>
  <c r="T24" i="9"/>
  <c r="T20" i="9"/>
  <c r="T16" i="9"/>
  <c r="F42" i="9"/>
  <c r="F36" i="9"/>
  <c r="F32" i="9"/>
  <c r="F40" i="9"/>
  <c r="F35" i="9"/>
  <c r="F44" i="9"/>
  <c r="F39" i="9"/>
  <c r="F34" i="9"/>
  <c r="F45" i="9"/>
  <c r="F41" i="9"/>
  <c r="F37" i="9"/>
  <c r="F33" i="9"/>
  <c r="BJ8" i="2"/>
  <c r="BJ7" i="2"/>
  <c r="BJ6" i="2"/>
  <c r="BL9" i="2"/>
  <c r="BL8" i="2"/>
  <c r="K32" i="9" s="1"/>
  <c r="BR9" i="2"/>
  <c r="AF7" i="2"/>
  <c r="AF6" i="2"/>
  <c r="AH8" i="2"/>
  <c r="D37" i="9" s="1"/>
  <c r="AH6" i="2"/>
  <c r="BM6" i="2"/>
  <c r="BC8" i="2"/>
  <c r="BS8" i="2"/>
  <c r="CI8" i="2"/>
  <c r="DC7" i="2"/>
  <c r="AV9" i="2"/>
  <c r="BP8" i="2"/>
  <c r="K36" i="9" s="1"/>
  <c r="CF8" i="2"/>
  <c r="CF5" i="2" s="1"/>
  <c r="CR9" i="2"/>
  <c r="BV7" i="2"/>
  <c r="CZ6" i="2"/>
  <c r="CR6" i="2"/>
  <c r="CF6" i="2"/>
  <c r="BP6" i="2"/>
  <c r="BL6" i="2"/>
  <c r="AV6" i="2"/>
  <c r="AB6" i="2"/>
  <c r="T6" i="2"/>
  <c r="I6" i="2"/>
  <c r="BV8" i="2"/>
  <c r="CC9" i="2"/>
  <c r="BM8" i="2"/>
  <c r="I9" i="2"/>
  <c r="AY8" i="2"/>
  <c r="K19" i="9" s="1"/>
  <c r="BC7" i="2"/>
  <c r="BS7" i="2"/>
  <c r="CI7" i="2"/>
  <c r="CZ7" i="2"/>
  <c r="BZ8" i="2"/>
  <c r="CC6" i="2"/>
  <c r="BF8" i="2"/>
  <c r="BF7" i="2"/>
  <c r="I7" i="2"/>
  <c r="D12" i="9" s="1"/>
  <c r="BZ7" i="2"/>
  <c r="K6" i="2"/>
  <c r="L6" i="2"/>
  <c r="DC6" i="2"/>
  <c r="CY6" i="2"/>
  <c r="CU6" i="2"/>
  <c r="CQ6" i="2"/>
  <c r="CM6" i="2"/>
  <c r="CI6" i="2"/>
  <c r="CE6" i="2"/>
  <c r="CA6" i="2"/>
  <c r="BW6" i="2"/>
  <c r="BS6" i="2"/>
  <c r="BO6" i="2"/>
  <c r="BK6" i="2"/>
  <c r="BG6" i="2"/>
  <c r="BC6" i="2"/>
  <c r="AY6" i="2"/>
  <c r="AU6" i="2"/>
  <c r="AQ6" i="2"/>
  <c r="AM6" i="2"/>
  <c r="AA6" i="2"/>
  <c r="W6" i="2"/>
  <c r="S6" i="2"/>
  <c r="O6" i="2"/>
  <c r="J6" i="2"/>
  <c r="DF6" i="2"/>
  <c r="DB6" i="2"/>
  <c r="CX6" i="2"/>
  <c r="CT6" i="2"/>
  <c r="CP6" i="2"/>
  <c r="CL6" i="2"/>
  <c r="CH6" i="2"/>
  <c r="CD6" i="2"/>
  <c r="BZ6" i="2"/>
  <c r="BV6" i="2"/>
  <c r="BR6" i="2"/>
  <c r="BN6" i="2"/>
  <c r="BF6" i="2"/>
  <c r="BB6" i="2"/>
  <c r="AX6" i="2"/>
  <c r="AT6" i="2"/>
  <c r="AP6" i="2"/>
  <c r="AL6" i="2"/>
  <c r="AD6" i="2"/>
  <c r="Z6" i="2"/>
  <c r="V6" i="2"/>
  <c r="R6" i="2"/>
  <c r="N6" i="2"/>
  <c r="Q23" i="9"/>
  <c r="J25" i="9"/>
  <c r="Q20" i="9"/>
  <c r="J38" i="9"/>
  <c r="J11" i="9"/>
  <c r="Q31" i="9"/>
  <c r="Q15" i="9"/>
  <c r="J33" i="9"/>
  <c r="J17" i="9"/>
  <c r="Q39" i="9"/>
  <c r="J41" i="9"/>
  <c r="Q36" i="9"/>
  <c r="J22" i="9"/>
  <c r="Q28" i="9"/>
  <c r="Q12" i="9"/>
  <c r="J30" i="9"/>
  <c r="J14" i="9"/>
  <c r="Q43" i="9"/>
  <c r="Q35" i="9"/>
  <c r="Q27" i="9"/>
  <c r="Q19" i="9"/>
  <c r="J45" i="9"/>
  <c r="J37" i="9"/>
  <c r="J29" i="9"/>
  <c r="J21" i="9"/>
  <c r="J13" i="9"/>
  <c r="Q40" i="9"/>
  <c r="Q32" i="9"/>
  <c r="Q24" i="9"/>
  <c r="Q16" i="9"/>
  <c r="J42" i="9"/>
  <c r="J34" i="9"/>
  <c r="J26" i="9"/>
  <c r="J18" i="9"/>
  <c r="Q11" i="9"/>
  <c r="Q42" i="9"/>
  <c r="Q38" i="9"/>
  <c r="Q34" i="9"/>
  <c r="Q30" i="9"/>
  <c r="Q26" i="9"/>
  <c r="Q22" i="9"/>
  <c r="Q18" i="9"/>
  <c r="Q14" i="9"/>
  <c r="J44" i="9"/>
  <c r="J40" i="9"/>
  <c r="J36" i="9"/>
  <c r="J32" i="9"/>
  <c r="J28" i="9"/>
  <c r="J24" i="9"/>
  <c r="J20" i="9"/>
  <c r="J16" i="9"/>
  <c r="J12" i="9"/>
  <c r="Q41" i="9"/>
  <c r="Q37" i="9"/>
  <c r="Q33" i="9"/>
  <c r="Q29" i="9"/>
  <c r="Q25" i="9"/>
  <c r="Q21" i="9"/>
  <c r="Q17" i="9"/>
  <c r="Q13" i="9"/>
  <c r="J43" i="9"/>
  <c r="J39" i="9"/>
  <c r="J35" i="9"/>
  <c r="J31" i="9"/>
  <c r="J27" i="9"/>
  <c r="J23" i="9"/>
  <c r="J19" i="9"/>
  <c r="J15" i="9"/>
  <c r="C35" i="9"/>
  <c r="C43" i="9"/>
  <c r="C27" i="9"/>
  <c r="C19" i="9"/>
  <c r="C42" i="9"/>
  <c r="C34" i="9"/>
  <c r="C26" i="9"/>
  <c r="C18" i="9"/>
  <c r="C39" i="9"/>
  <c r="C31" i="9"/>
  <c r="C23" i="9"/>
  <c r="C15" i="9"/>
  <c r="C11" i="9"/>
  <c r="C38" i="9"/>
  <c r="C30" i="9"/>
  <c r="C22" i="9"/>
  <c r="C14" i="9"/>
  <c r="C45" i="9"/>
  <c r="C41" i="9"/>
  <c r="C37" i="9"/>
  <c r="C33" i="9"/>
  <c r="C29" i="9"/>
  <c r="C25" i="9"/>
  <c r="C21" i="9"/>
  <c r="C17" i="9"/>
  <c r="C13" i="9"/>
  <c r="C44" i="9"/>
  <c r="C40" i="9"/>
  <c r="C36" i="9"/>
  <c r="C32" i="9"/>
  <c r="C28" i="9"/>
  <c r="C24" i="9"/>
  <c r="C20" i="9"/>
  <c r="C16" i="9"/>
  <c r="AJ5" i="2" l="1"/>
  <c r="DB5" i="2"/>
  <c r="AT5" i="2"/>
  <c r="S5" i="2"/>
  <c r="U14" i="10"/>
  <c r="Y11" i="10"/>
  <c r="T15" i="10"/>
  <c r="X12" i="10" s="1"/>
  <c r="O5" i="2"/>
  <c r="R19" i="9"/>
  <c r="CT5" i="2"/>
  <c r="D25" i="9"/>
  <c r="CD5" i="2"/>
  <c r="BN5" i="2"/>
  <c r="AG5" i="2"/>
  <c r="D45" i="9"/>
  <c r="D27" i="9"/>
  <c r="R25" i="9"/>
  <c r="R27" i="9"/>
  <c r="AP5" i="2"/>
  <c r="D38" i="9"/>
  <c r="K25" i="9"/>
  <c r="R5" i="2"/>
  <c r="R33" i="9"/>
  <c r="Q5" i="2"/>
  <c r="AB5" i="2"/>
  <c r="R13" i="9"/>
  <c r="K18" i="9"/>
  <c r="CP5" i="2"/>
  <c r="R42" i="9"/>
  <c r="AO5" i="2"/>
  <c r="Z5" i="2"/>
  <c r="BX5" i="2"/>
  <c r="CR5" i="2"/>
  <c r="R34" i="9"/>
  <c r="BD5" i="2"/>
  <c r="K28" i="9"/>
  <c r="K13" i="9"/>
  <c r="D26" i="9"/>
  <c r="R12" i="9"/>
  <c r="K16" i="9"/>
  <c r="BU5" i="2"/>
  <c r="K33" i="9"/>
  <c r="AW5" i="2"/>
  <c r="R16" i="9"/>
  <c r="AR5" i="2"/>
  <c r="D33" i="9"/>
  <c r="BQ5" i="2"/>
  <c r="R22" i="9"/>
  <c r="K24" i="9"/>
  <c r="BY5" i="2"/>
  <c r="R24" i="9"/>
  <c r="BA5" i="2"/>
  <c r="U5" i="2"/>
  <c r="AN5" i="2"/>
  <c r="D36" i="9"/>
  <c r="D24" i="9"/>
  <c r="AS5" i="2"/>
  <c r="R30" i="9"/>
  <c r="R14" i="9"/>
  <c r="K39" i="9"/>
  <c r="K27" i="9"/>
  <c r="AM5" i="2"/>
  <c r="D43" i="9"/>
  <c r="CV5" i="2"/>
  <c r="Y5" i="2"/>
  <c r="AH5" i="2"/>
  <c r="AY5" i="2"/>
  <c r="D28" i="9"/>
  <c r="R41" i="9"/>
  <c r="K12" i="9"/>
  <c r="BI5" i="2"/>
  <c r="R43" i="9"/>
  <c r="DC5" i="2"/>
  <c r="R40" i="9"/>
  <c r="AF5" i="2"/>
  <c r="D35" i="9"/>
  <c r="T5" i="2"/>
  <c r="D23" i="9"/>
  <c r="R37" i="9"/>
  <c r="CZ5" i="2"/>
  <c r="L5" i="2"/>
  <c r="D15" i="9"/>
  <c r="R17" i="9"/>
  <c r="CG5" i="2"/>
  <c r="R18" i="9"/>
  <c r="CI5" i="2"/>
  <c r="R20" i="9"/>
  <c r="K30" i="9"/>
  <c r="AL5" i="2"/>
  <c r="P5" i="2"/>
  <c r="D19" i="9"/>
  <c r="AU5" i="2"/>
  <c r="K40" i="9"/>
  <c r="BT5" i="2"/>
  <c r="R35" i="9"/>
  <c r="CX5" i="2"/>
  <c r="J5" i="2"/>
  <c r="D13" i="9"/>
  <c r="K43" i="9"/>
  <c r="K45" i="9"/>
  <c r="AA5" i="2"/>
  <c r="K23" i="9"/>
  <c r="BC5" i="2"/>
  <c r="AZ5" i="2"/>
  <c r="K20" i="9"/>
  <c r="R21" i="9"/>
  <c r="CJ5" i="2"/>
  <c r="K26" i="9"/>
  <c r="BF5" i="2"/>
  <c r="AK5" i="2"/>
  <c r="CO5" i="2"/>
  <c r="R26" i="9"/>
  <c r="K22" i="9"/>
  <c r="BB5" i="2"/>
  <c r="R11" i="9"/>
  <c r="BZ5" i="2"/>
  <c r="K42" i="9"/>
  <c r="BV5" i="2"/>
  <c r="CU5" i="2"/>
  <c r="R32" i="9"/>
  <c r="DA5" i="2"/>
  <c r="R38" i="9"/>
  <c r="CQ5" i="2"/>
  <c r="R28" i="9"/>
  <c r="CY5" i="2"/>
  <c r="R36" i="9"/>
  <c r="K31" i="9"/>
  <c r="BR5" i="2"/>
  <c r="K38" i="9"/>
  <c r="K11" i="9"/>
  <c r="AQ5" i="2"/>
  <c r="BK5" i="2"/>
  <c r="BP5" i="2"/>
  <c r="BO5" i="2"/>
  <c r="K35" i="9"/>
  <c r="BM5" i="2"/>
  <c r="BJ5" i="2"/>
  <c r="BL5" i="2"/>
  <c r="BS5" i="2"/>
  <c r="I5" i="2"/>
  <c r="U15" i="10" l="1"/>
  <c r="Y12" i="10"/>
  <c r="T16" i="10"/>
  <c r="T17" i="10" s="1"/>
  <c r="X14" i="10" s="1"/>
  <c r="H10" i="2"/>
  <c r="B11" i="9"/>
  <c r="H3" i="2"/>
  <c r="H6" i="2" s="1"/>
  <c r="X13" i="10" l="1"/>
  <c r="U16" i="10"/>
  <c r="Y13" i="10"/>
  <c r="T18" i="10"/>
  <c r="X15" i="10" s="1"/>
  <c r="Y14" i="10"/>
  <c r="U17" i="10"/>
  <c r="H7" i="2"/>
  <c r="H8" i="2"/>
  <c r="H9" i="2"/>
  <c r="T19" i="10" l="1"/>
  <c r="X16" i="10" s="1"/>
  <c r="U18" i="10"/>
  <c r="Y15" i="10"/>
  <c r="H5" i="2"/>
  <c r="D11" i="9"/>
  <c r="T20" i="10" l="1"/>
  <c r="X17" i="10" s="1"/>
  <c r="U19" i="10"/>
  <c r="Y16" i="10"/>
  <c r="T21" i="10" l="1"/>
  <c r="X18" i="10" s="1"/>
  <c r="U20" i="10"/>
  <c r="Y17" i="10"/>
  <c r="Y18" i="10" l="1"/>
  <c r="Y20" i="10" s="1"/>
  <c r="U21" i="10"/>
  <c r="L7" i="7" l="1"/>
  <c r="E32" i="9"/>
  <c r="G32" i="9" s="1" a="1"/>
  <c r="G32" i="9" s="1"/>
  <c r="L10" i="7"/>
  <c r="L6" i="7"/>
  <c r="L9" i="7"/>
  <c r="L3" i="7"/>
  <c r="L5" i="7" s="1" a="1"/>
  <c r="L5" i="7" s="1"/>
  <c r="L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<sst xmlns="http://schemas.openxmlformats.org/spreadsheetml/2006/main" count="1878" uniqueCount="879">
  <si>
    <t>Granja</t>
  </si>
  <si>
    <t>Lote</t>
  </si>
  <si>
    <t>Linhagem</t>
  </si>
  <si>
    <t>Cidade</t>
  </si>
  <si>
    <t>Data alojamento</t>
  </si>
  <si>
    <t>Hoje é dia</t>
  </si>
  <si>
    <t>A idade do lote hoje é</t>
  </si>
  <si>
    <t>Peso Real</t>
  </si>
  <si>
    <t>Abaixo de 10%</t>
  </si>
  <si>
    <t>Acima de 10%</t>
  </si>
  <si>
    <t>C.V</t>
  </si>
  <si>
    <t>Matriz A</t>
  </si>
  <si>
    <t>Matriz B</t>
  </si>
  <si>
    <t>Matriz C</t>
  </si>
  <si>
    <t>Nº aves avaliadas</t>
  </si>
  <si>
    <t>Ave 1</t>
  </si>
  <si>
    <t>Ave 2</t>
  </si>
  <si>
    <t>Ave 3</t>
  </si>
  <si>
    <t>Ave 4</t>
  </si>
  <si>
    <t>Ave 5</t>
  </si>
  <si>
    <t>Ave 6</t>
  </si>
  <si>
    <t>Ave 7</t>
  </si>
  <si>
    <t>Ave 8</t>
  </si>
  <si>
    <t>Ave 9</t>
  </si>
  <si>
    <t>Ave 10</t>
  </si>
  <si>
    <t>Ave 11</t>
  </si>
  <si>
    <t>Ave 12</t>
  </si>
  <si>
    <t>Ave 13</t>
  </si>
  <si>
    <t>Ave 14</t>
  </si>
  <si>
    <t>Ave 15</t>
  </si>
  <si>
    <t>Ave 16</t>
  </si>
  <si>
    <t>Ave 17</t>
  </si>
  <si>
    <t>Ave 18</t>
  </si>
  <si>
    <t>Ave 19</t>
  </si>
  <si>
    <t>Ave 20</t>
  </si>
  <si>
    <t>Ave 21</t>
  </si>
  <si>
    <t>Ave 22</t>
  </si>
  <si>
    <t>Ave 23</t>
  </si>
  <si>
    <t>Ave 24</t>
  </si>
  <si>
    <t>Ave 25</t>
  </si>
  <si>
    <t>Ave 26</t>
  </si>
  <si>
    <t>Ave 27</t>
  </si>
  <si>
    <t>Ave 28</t>
  </si>
  <si>
    <t>Ave 29</t>
  </si>
  <si>
    <t>Ave 30</t>
  </si>
  <si>
    <t>Ave 31</t>
  </si>
  <si>
    <t>Ave 32</t>
  </si>
  <si>
    <t>Ave 33</t>
  </si>
  <si>
    <t>Ave 34</t>
  </si>
  <si>
    <t>Ave 35</t>
  </si>
  <si>
    <t>Ave 36</t>
  </si>
  <si>
    <t>Ave 37</t>
  </si>
  <si>
    <t>Ave 38</t>
  </si>
  <si>
    <t>Ave 39</t>
  </si>
  <si>
    <t>Ave 40</t>
  </si>
  <si>
    <t>Ave 41</t>
  </si>
  <si>
    <t>Ave 42</t>
  </si>
  <si>
    <t>Ave 43</t>
  </si>
  <si>
    <t>Ave 44</t>
  </si>
  <si>
    <t>Ave 45</t>
  </si>
  <si>
    <t>Ave 46</t>
  </si>
  <si>
    <t>Ave 47</t>
  </si>
  <si>
    <t>Ave 48</t>
  </si>
  <si>
    <t>Ave 49</t>
  </si>
  <si>
    <t>Ave 50</t>
  </si>
  <si>
    <t>Ave 51</t>
  </si>
  <si>
    <t>Ave 52</t>
  </si>
  <si>
    <t>Ave 53</t>
  </si>
  <si>
    <t>Ave 54</t>
  </si>
  <si>
    <t>Ave 55</t>
  </si>
  <si>
    <t>Ave 56</t>
  </si>
  <si>
    <t>Ave 57</t>
  </si>
  <si>
    <t>Ave 58</t>
  </si>
  <si>
    <t>Ave 59</t>
  </si>
  <si>
    <t>Ave 60</t>
  </si>
  <si>
    <t>Ave 61</t>
  </si>
  <si>
    <t>Ave 62</t>
  </si>
  <si>
    <t>Ave 63</t>
  </si>
  <si>
    <t>Ave 64</t>
  </si>
  <si>
    <t>Ave 65</t>
  </si>
  <si>
    <t>Ave 66</t>
  </si>
  <si>
    <t>Ave 67</t>
  </si>
  <si>
    <t>Ave 68</t>
  </si>
  <si>
    <t>Ave 69</t>
  </si>
  <si>
    <t>Ave 70</t>
  </si>
  <si>
    <t>Ave 71</t>
  </si>
  <si>
    <t>Ave 72</t>
  </si>
  <si>
    <t>Ave 73</t>
  </si>
  <si>
    <t>Ave 74</t>
  </si>
  <si>
    <t>Ave 75</t>
  </si>
  <si>
    <t>Ave 76</t>
  </si>
  <si>
    <t>Ave 77</t>
  </si>
  <si>
    <t>Ave 78</t>
  </si>
  <si>
    <t>Ave 79</t>
  </si>
  <si>
    <t>Ave 80</t>
  </si>
  <si>
    <t>Ave 81</t>
  </si>
  <si>
    <t>Ave 82</t>
  </si>
  <si>
    <t>Ave 83</t>
  </si>
  <si>
    <t>Ave 84</t>
  </si>
  <si>
    <t>Ave 85</t>
  </si>
  <si>
    <t>Ave 86</t>
  </si>
  <si>
    <t>Ave 87</t>
  </si>
  <si>
    <t>Ave 88</t>
  </si>
  <si>
    <t>Ave 89</t>
  </si>
  <si>
    <t>Ave 90</t>
  </si>
  <si>
    <t>Ave 91</t>
  </si>
  <si>
    <t>Ave 92</t>
  </si>
  <si>
    <t>Ave 93</t>
  </si>
  <si>
    <t>Ave 94</t>
  </si>
  <si>
    <t>Ave 95</t>
  </si>
  <si>
    <t>Ave 96</t>
  </si>
  <si>
    <t>Ave 97</t>
  </si>
  <si>
    <t>Ave 98</t>
  </si>
  <si>
    <t>Ave 99</t>
  </si>
  <si>
    <t>Ave 100</t>
  </si>
  <si>
    <t>Ave 101</t>
  </si>
  <si>
    <t>Ave 102</t>
  </si>
  <si>
    <t>Ave 103</t>
  </si>
  <si>
    <t>Ave 104</t>
  </si>
  <si>
    <t>Ave 105</t>
  </si>
  <si>
    <t>Ave 106</t>
  </si>
  <si>
    <t>Ave 107</t>
  </si>
  <si>
    <t>Ave 108</t>
  </si>
  <si>
    <t>Ave 109</t>
  </si>
  <si>
    <t>Ave 110</t>
  </si>
  <si>
    <t>Ave 111</t>
  </si>
  <si>
    <t>Ave 112</t>
  </si>
  <si>
    <t>Ave 113</t>
  </si>
  <si>
    <t>Ave 114</t>
  </si>
  <si>
    <t>Ave 115</t>
  </si>
  <si>
    <t>Ave 116</t>
  </si>
  <si>
    <t>Ave 117</t>
  </si>
  <si>
    <t>Ave 118</t>
  </si>
  <si>
    <t>Ave 119</t>
  </si>
  <si>
    <t>Ave 120</t>
  </si>
  <si>
    <t>Ave 121</t>
  </si>
  <si>
    <t>Ave 122</t>
  </si>
  <si>
    <t>Ave 123</t>
  </si>
  <si>
    <t>Ave 124</t>
  </si>
  <si>
    <t>Ave 125</t>
  </si>
  <si>
    <t>Ave 126</t>
  </si>
  <si>
    <t>Ave 127</t>
  </si>
  <si>
    <t>Ave 128</t>
  </si>
  <si>
    <t>Ave 129</t>
  </si>
  <si>
    <t>Ave 130</t>
  </si>
  <si>
    <t>Ave 131</t>
  </si>
  <si>
    <t>Ave 132</t>
  </si>
  <si>
    <t>Ave 133</t>
  </si>
  <si>
    <t>Ave 134</t>
  </si>
  <si>
    <t>Ave 135</t>
  </si>
  <si>
    <t>Ave 136</t>
  </si>
  <si>
    <t>Ave 137</t>
  </si>
  <si>
    <t>Ave 138</t>
  </si>
  <si>
    <t>Ave 139</t>
  </si>
  <si>
    <t>Ave 140</t>
  </si>
  <si>
    <t>Ave 141</t>
  </si>
  <si>
    <t>Ave 142</t>
  </si>
  <si>
    <t>Ave 143</t>
  </si>
  <si>
    <t>Ave 144</t>
  </si>
  <si>
    <t>Ave 145</t>
  </si>
  <si>
    <t>Ave 146</t>
  </si>
  <si>
    <t>Ave 147</t>
  </si>
  <si>
    <t>Ave 148</t>
  </si>
  <si>
    <t>Ave 149</t>
  </si>
  <si>
    <t>Ave 150</t>
  </si>
  <si>
    <t>Ave 151</t>
  </si>
  <si>
    <t>Ave 152</t>
  </si>
  <si>
    <t>Ave 153</t>
  </si>
  <si>
    <t>Ave 154</t>
  </si>
  <si>
    <t>Ave 155</t>
  </si>
  <si>
    <t>Ave 156</t>
  </si>
  <si>
    <t>Ave 157</t>
  </si>
  <si>
    <t>Ave 158</t>
  </si>
  <si>
    <t>Ave 159</t>
  </si>
  <si>
    <t>Ave 160</t>
  </si>
  <si>
    <t>Ave 161</t>
  </si>
  <si>
    <t>Ave 162</t>
  </si>
  <si>
    <t>Ave 163</t>
  </si>
  <si>
    <t>Ave 164</t>
  </si>
  <si>
    <t>Ave 165</t>
  </si>
  <si>
    <t>Ave 166</t>
  </si>
  <si>
    <t>Ave 167</t>
  </si>
  <si>
    <t>Ave 168</t>
  </si>
  <si>
    <t>Ave 169</t>
  </si>
  <si>
    <t>Ave 170</t>
  </si>
  <si>
    <t>Ave 171</t>
  </si>
  <si>
    <t>Ave 172</t>
  </si>
  <si>
    <t>Ave 173</t>
  </si>
  <si>
    <t>Ave 174</t>
  </si>
  <si>
    <t>Ave 175</t>
  </si>
  <si>
    <t>Ave 176</t>
  </si>
  <si>
    <t>Ave 177</t>
  </si>
  <si>
    <t>Ave 178</t>
  </si>
  <si>
    <t>Ave 179</t>
  </si>
  <si>
    <t>Ave 180</t>
  </si>
  <si>
    <t>Ave 181</t>
  </si>
  <si>
    <t>Ave 182</t>
  </si>
  <si>
    <t>Ave 183</t>
  </si>
  <si>
    <t>Ave 184</t>
  </si>
  <si>
    <t>Ave 185</t>
  </si>
  <si>
    <t>Ave 186</t>
  </si>
  <si>
    <t>Ave 187</t>
  </si>
  <si>
    <t>Ave 188</t>
  </si>
  <si>
    <t>Ave 189</t>
  </si>
  <si>
    <t>Ave 190</t>
  </si>
  <si>
    <t>Ave 191</t>
  </si>
  <si>
    <t>Ave 192</t>
  </si>
  <si>
    <t>Ave 193</t>
  </si>
  <si>
    <t>Ave 194</t>
  </si>
  <si>
    <t>Ave 195</t>
  </si>
  <si>
    <t>Ave 196</t>
  </si>
  <si>
    <t>Ave 197</t>
  </si>
  <si>
    <t>Ave 198</t>
  </si>
  <si>
    <t>Ave 199</t>
  </si>
  <si>
    <t>Ave 200</t>
  </si>
  <si>
    <t>Ave 201</t>
  </si>
  <si>
    <t>Ave 202</t>
  </si>
  <si>
    <t>Ave 203</t>
  </si>
  <si>
    <t>Ave 204</t>
  </si>
  <si>
    <t>Ave 205</t>
  </si>
  <si>
    <t>Ave 206</t>
  </si>
  <si>
    <t>Ave 207</t>
  </si>
  <si>
    <t>Ave 208</t>
  </si>
  <si>
    <t>Ave 209</t>
  </si>
  <si>
    <t>Ave 210</t>
  </si>
  <si>
    <t>Ave 211</t>
  </si>
  <si>
    <t>Ave 212</t>
  </si>
  <si>
    <t>Ave 213</t>
  </si>
  <si>
    <t>Ave 214</t>
  </si>
  <si>
    <t>Ave 215</t>
  </si>
  <si>
    <t>Ave 216</t>
  </si>
  <si>
    <t>Ave 217</t>
  </si>
  <si>
    <t>Ave 218</t>
  </si>
  <si>
    <t>Ave 219</t>
  </si>
  <si>
    <t>Ave 220</t>
  </si>
  <si>
    <t>Ave 221</t>
  </si>
  <si>
    <t>Ave 222</t>
  </si>
  <si>
    <t>Ave 223</t>
  </si>
  <si>
    <t>Ave 224</t>
  </si>
  <si>
    <t>Ave 225</t>
  </si>
  <si>
    <t>Ave 226</t>
  </si>
  <si>
    <t>Ave 227</t>
  </si>
  <si>
    <t>Ave 228</t>
  </si>
  <si>
    <t>Ave 229</t>
  </si>
  <si>
    <t>Ave 230</t>
  </si>
  <si>
    <t>Ave 231</t>
  </si>
  <si>
    <t>Ave 232</t>
  </si>
  <si>
    <t>Ave 233</t>
  </si>
  <si>
    <t>Ave 234</t>
  </si>
  <si>
    <t>Ave 235</t>
  </si>
  <si>
    <t>Ave 236</t>
  </si>
  <si>
    <t>Ave 237</t>
  </si>
  <si>
    <t>Ave 238</t>
  </si>
  <si>
    <t>Ave 239</t>
  </si>
  <si>
    <t>Ave 240</t>
  </si>
  <si>
    <t>Ave 241</t>
  </si>
  <si>
    <t>Ave 242</t>
  </si>
  <si>
    <t>Ave 243</t>
  </si>
  <si>
    <t>Ave 244</t>
  </si>
  <si>
    <t>Ave 245</t>
  </si>
  <si>
    <t>Ave 246</t>
  </si>
  <si>
    <t>Ave 247</t>
  </si>
  <si>
    <t>Ave 248</t>
  </si>
  <si>
    <t>Ave 249</t>
  </si>
  <si>
    <t>Ave 250</t>
  </si>
  <si>
    <t>Ave 251</t>
  </si>
  <si>
    <t>Ave 252</t>
  </si>
  <si>
    <t>Ave 253</t>
  </si>
  <si>
    <t>Ave 254</t>
  </si>
  <si>
    <t>Ave 255</t>
  </si>
  <si>
    <t>Ave 256</t>
  </si>
  <si>
    <t>Ave 257</t>
  </si>
  <si>
    <t>Ave 258</t>
  </si>
  <si>
    <t>Ave 259</t>
  </si>
  <si>
    <t>Ave 260</t>
  </si>
  <si>
    <t>Ave 261</t>
  </si>
  <si>
    <t>Ave 262</t>
  </si>
  <si>
    <t>Ave 263</t>
  </si>
  <si>
    <t>Ave 264</t>
  </si>
  <si>
    <t>Ave 265</t>
  </si>
  <si>
    <t>Ave 266</t>
  </si>
  <si>
    <t>Ave 267</t>
  </si>
  <si>
    <t>Ave 268</t>
  </si>
  <si>
    <t>Ave 269</t>
  </si>
  <si>
    <t>Ave 270</t>
  </si>
  <si>
    <t>Ave 271</t>
  </si>
  <si>
    <t>Ave 272</t>
  </si>
  <si>
    <t>Ave 273</t>
  </si>
  <si>
    <t>Ave 274</t>
  </si>
  <si>
    <t>Ave 275</t>
  </si>
  <si>
    <t>Ave 276</t>
  </si>
  <si>
    <t>Ave 277</t>
  </si>
  <si>
    <t>Ave 278</t>
  </si>
  <si>
    <t>Ave 279</t>
  </si>
  <si>
    <t>Ave 280</t>
  </si>
  <si>
    <t>Ave 281</t>
  </si>
  <si>
    <t>Ave 282</t>
  </si>
  <si>
    <t>Ave 283</t>
  </si>
  <si>
    <t>Ave 284</t>
  </si>
  <si>
    <t>Ave 285</t>
  </si>
  <si>
    <t>Ave 286</t>
  </si>
  <si>
    <t>Ave 287</t>
  </si>
  <si>
    <t>Ave 288</t>
  </si>
  <si>
    <t>Ave 289</t>
  </si>
  <si>
    <t>Ave 290</t>
  </si>
  <si>
    <t>Ave 291</t>
  </si>
  <si>
    <t>Ave 292</t>
  </si>
  <si>
    <t>Ave 293</t>
  </si>
  <si>
    <t>Ave 294</t>
  </si>
  <si>
    <t>Ave 295</t>
  </si>
  <si>
    <t>Ave 296</t>
  </si>
  <si>
    <t>Ave 297</t>
  </si>
  <si>
    <t>Ave 298</t>
  </si>
  <si>
    <t>Ave 299</t>
  </si>
  <si>
    <t>Ave 300</t>
  </si>
  <si>
    <t>Qtde. alojada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</si>
  <si>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</si>
  <si>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</si>
  <si>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</si>
  <si>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</si>
  <si>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</si>
  <si>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</si>
  <si>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</si>
  <si>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</si>
  <si>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</si>
  <si>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</si>
  <si>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</si>
  <si>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</si>
  <si>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</si>
  <si>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</si>
  <si>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</si>
  <si>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</si>
  <si>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</si>
  <si>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</si>
  <si>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</si>
  <si>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</si>
  <si>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</si>
  <si>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</si>
  <si>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</si>
  <si>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</si>
  <si>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</si>
  <si>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</si>
  <si>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</si>
  <si>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</si>
  <si>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</si>
  <si>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</si>
  <si>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</si>
  <si>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</si>
  <si>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</si>
  <si>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</si>
  <si>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</si>
  <si>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</si>
  <si>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</si>
  <si>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</si>
  <si>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</si>
  <si>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</si>
  <si>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</si>
  <si>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</si>
  <si>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</si>
  <si>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</si>
  <si>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</si>
  <si>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</si>
  <si>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</si>
  <si>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</si>
  <si>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</si>
  <si>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</si>
  <si>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</si>
  <si>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</si>
  <si>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</si>
  <si>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</si>
  <si>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</si>
  <si>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</si>
  <si>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</si>
  <si>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</si>
  <si>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</si>
  <si>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</si>
  <si>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</si>
  <si>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</si>
  <si>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</si>
  <si>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</si>
  <si>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</si>
  <si>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</si>
  <si>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</si>
  <si>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</si>
  <si>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</si>
  <si>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</si>
  <si>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</si>
  <si>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</si>
  <si>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</si>
  <si>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</si>
  <si>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</si>
  <si>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</si>
  <si>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</si>
  <si>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</si>
  <si>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</si>
  <si>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</si>
  <si>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</si>
  <si>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</si>
  <si>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</si>
  <si>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</si>
  <si>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</si>
  <si>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</si>
  <si>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</si>
  <si>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</si>
  <si>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</si>
  <si>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</si>
  <si>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</si>
  <si>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</si>
  <si>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</si>
  <si>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</si>
  <si>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</si>
  <si>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</si>
  <si>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</si>
  <si>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</si>
  <si>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</si>
  <si>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</si>
  <si>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Dif.real x padrão</t>
  </si>
  <si>
    <t>Última pesagem:</t>
  </si>
  <si>
    <t>Chegada Matriz A</t>
  </si>
  <si>
    <t>Chegada Matriz B</t>
  </si>
  <si>
    <t>Chegada Matriz C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</si>
  <si>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</si>
  <si>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</si>
  <si>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</si>
  <si>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</si>
  <si>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</si>
  <si>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</si>
  <si>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</si>
  <si>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</si>
  <si>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</si>
  <si>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</si>
  <si>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</si>
  <si>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</si>
  <si>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</si>
  <si>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</si>
  <si>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</si>
  <si>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</si>
  <si>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</si>
  <si>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</si>
  <si>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</si>
  <si>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Sem 20</t>
  </si>
  <si>
    <t>Sem 21</t>
  </si>
  <si>
    <t>Sem 22</t>
  </si>
  <si>
    <t>Sem 23</t>
  </si>
  <si>
    <t>Sem 24</t>
  </si>
  <si>
    <t>Sem 25</t>
  </si>
  <si>
    <t>Sem 26</t>
  </si>
  <si>
    <t>Sem 27</t>
  </si>
  <si>
    <t>Sem 28</t>
  </si>
  <si>
    <t>Sem 29</t>
  </si>
  <si>
    <t>Sem 30</t>
  </si>
  <si>
    <t>Sem 31</t>
  </si>
  <si>
    <t>Sem 32</t>
  </si>
  <si>
    <t>Sem 33</t>
  </si>
  <si>
    <t>Sem 34</t>
  </si>
  <si>
    <t>Sem 35</t>
  </si>
  <si>
    <t>Sem 36</t>
  </si>
  <si>
    <t>Sem 37</t>
  </si>
  <si>
    <t>Sem 38</t>
  </si>
  <si>
    <t>Sem 39</t>
  </si>
  <si>
    <t>Sem 40</t>
  </si>
  <si>
    <t>Sem 41</t>
  </si>
  <si>
    <t>Sem 42</t>
  </si>
  <si>
    <t>Sem 43</t>
  </si>
  <si>
    <t>Sem 44</t>
  </si>
  <si>
    <t>Sem 45</t>
  </si>
  <si>
    <t>Sem 46</t>
  </si>
  <si>
    <t>Sem 47</t>
  </si>
  <si>
    <t>Sem 48</t>
  </si>
  <si>
    <t>Sem 49</t>
  </si>
  <si>
    <t>Sem 50</t>
  </si>
  <si>
    <t>Sem 51</t>
  </si>
  <si>
    <t>Sem 52</t>
  </si>
  <si>
    <t>Sem 53</t>
  </si>
  <si>
    <t>Sem 54</t>
  </si>
  <si>
    <t>Sem 55</t>
  </si>
  <si>
    <t>Sem 56</t>
  </si>
  <si>
    <t>Sem 57</t>
  </si>
  <si>
    <t>Sem 58</t>
  </si>
  <si>
    <t>Sem 59</t>
  </si>
  <si>
    <t>Sem 60</t>
  </si>
  <si>
    <t>Sem 61</t>
  </si>
  <si>
    <t>Sem 62</t>
  </si>
  <si>
    <t>Sem 63</t>
  </si>
  <si>
    <t>Sem 64</t>
  </si>
  <si>
    <t>Sem 65</t>
  </si>
  <si>
    <t>Sem 66</t>
  </si>
  <si>
    <t>Sem 67</t>
  </si>
  <si>
    <t>Sem 68</t>
  </si>
  <si>
    <t>Sem 69</t>
  </si>
  <si>
    <t>Sem 70</t>
  </si>
  <si>
    <t>Sem 71</t>
  </si>
  <si>
    <t>Sem 72</t>
  </si>
  <si>
    <t>Sem 73</t>
  </si>
  <si>
    <t>Sem 74</t>
  </si>
  <si>
    <t>Sem 75</t>
  </si>
  <si>
    <t>Sem 76</t>
  </si>
  <si>
    <t>Sem 77</t>
  </si>
  <si>
    <t>Sem 78</t>
  </si>
  <si>
    <t>Sem 79</t>
  </si>
  <si>
    <t>Sem 80</t>
  </si>
  <si>
    <t>Sem 81</t>
  </si>
  <si>
    <t>Sem 82</t>
  </si>
  <si>
    <t>Sem 83</t>
  </si>
  <si>
    <t>Sem 84</t>
  </si>
  <si>
    <t>Sem 85</t>
  </si>
  <si>
    <t>Sem 86</t>
  </si>
  <si>
    <t>Sem 87</t>
  </si>
  <si>
    <t>Sem 88</t>
  </si>
  <si>
    <t>Sem 89</t>
  </si>
  <si>
    <t>Sem 90</t>
  </si>
  <si>
    <t>Sem 91</t>
  </si>
  <si>
    <t>Sem 92</t>
  </si>
  <si>
    <t>Sem 93</t>
  </si>
  <si>
    <t>Sem 94</t>
  </si>
  <si>
    <t>Sem 95</t>
  </si>
  <si>
    <t>Sem 96</t>
  </si>
  <si>
    <t>Sem 97</t>
  </si>
  <si>
    <t>Sem 98</t>
  </si>
  <si>
    <t>Sem 99</t>
  </si>
  <si>
    <t>Sem 100</t>
  </si>
  <si>
    <t>Peso Padrão</t>
  </si>
  <si>
    <t>OUTRA (Branca)</t>
  </si>
  <si>
    <t>OUTRA (Vermelha)</t>
  </si>
  <si>
    <t>NICK CHICK (H&amp;N Branca)</t>
  </si>
  <si>
    <t>Unif. Padrão</t>
  </si>
  <si>
    <t>Unif. Real</t>
  </si>
  <si>
    <t>OVOS NICK CHICK (H&amp;N Branca)</t>
  </si>
  <si>
    <t>OVOS OUTRA (Branca)</t>
  </si>
  <si>
    <t>OVOS OUTRA (Vermelha)</t>
  </si>
  <si>
    <t>BROWN NICK (H&amp;N Vermelha)</t>
  </si>
  <si>
    <t>OVOS BROWN NICK (H&amp;N Vermelha)</t>
  </si>
  <si>
    <t>Item</t>
  </si>
  <si>
    <t>Pequeno</t>
  </si>
  <si>
    <t>Grande</t>
  </si>
  <si>
    <t>Extra</t>
  </si>
  <si>
    <t>Jumbo</t>
  </si>
  <si>
    <t>Nº ovos avaliados</t>
  </si>
  <si>
    <t>Ovo 1</t>
  </si>
  <si>
    <t>Ovo 2</t>
  </si>
  <si>
    <t>Ovo 3</t>
  </si>
  <si>
    <t>Ovo 4</t>
  </si>
  <si>
    <t>Ovo 5</t>
  </si>
  <si>
    <t>Ovo 6</t>
  </si>
  <si>
    <t>Ovo 7</t>
  </si>
  <si>
    <t>Ovo 8</t>
  </si>
  <si>
    <t>Ovo 9</t>
  </si>
  <si>
    <t>Ovo 10</t>
  </si>
  <si>
    <t>Ovo 11</t>
  </si>
  <si>
    <t>Ovo 12</t>
  </si>
  <si>
    <t>Ovo 13</t>
  </si>
  <si>
    <t>Ovo 14</t>
  </si>
  <si>
    <t>Ovo 15</t>
  </si>
  <si>
    <t>Ovo 16</t>
  </si>
  <si>
    <t>Ovo 17</t>
  </si>
  <si>
    <t>Ovo 18</t>
  </si>
  <si>
    <t>Ovo 19</t>
  </si>
  <si>
    <t>Ovo 20</t>
  </si>
  <si>
    <t>Ovo 21</t>
  </si>
  <si>
    <t>Ovo 22</t>
  </si>
  <si>
    <t>Ovo 23</t>
  </si>
  <si>
    <t>Ovo 24</t>
  </si>
  <si>
    <t>Ovo 25</t>
  </si>
  <si>
    <t>Ovo 26</t>
  </si>
  <si>
    <t>Ovo 27</t>
  </si>
  <si>
    <t>Ovo 28</t>
  </si>
  <si>
    <t>Ovo 29</t>
  </si>
  <si>
    <t>Ovo 30</t>
  </si>
  <si>
    <t>Ovo 31</t>
  </si>
  <si>
    <t>Ovo 32</t>
  </si>
  <si>
    <t>Ovo 33</t>
  </si>
  <si>
    <t>Ovo 34</t>
  </si>
  <si>
    <t>Ovo 35</t>
  </si>
  <si>
    <t>Ovo 36</t>
  </si>
  <si>
    <t>Ovo 37</t>
  </si>
  <si>
    <t>Ovo 38</t>
  </si>
  <si>
    <t>Ovo 39</t>
  </si>
  <si>
    <t>Ovo 40</t>
  </si>
  <si>
    <t>Ovo 41</t>
  </si>
  <si>
    <t>Ovo 42</t>
  </si>
  <si>
    <t>Ovo 43</t>
  </si>
  <si>
    <t>Ovo 44</t>
  </si>
  <si>
    <t>Ovo 45</t>
  </si>
  <si>
    <t>Ovo 46</t>
  </si>
  <si>
    <t>Ovo 47</t>
  </si>
  <si>
    <t>Ovo 48</t>
  </si>
  <si>
    <t>Ovo 49</t>
  </si>
  <si>
    <t>Ovo 50</t>
  </si>
  <si>
    <t>Ovo 51</t>
  </si>
  <si>
    <t>Ovo 52</t>
  </si>
  <si>
    <t>Ovo 53</t>
  </si>
  <si>
    <t>Ovo 54</t>
  </si>
  <si>
    <t>Ovo 55</t>
  </si>
  <si>
    <t>Ovo 56</t>
  </si>
  <si>
    <t>Ovo 57</t>
  </si>
  <si>
    <t>Ovo 58</t>
  </si>
  <si>
    <t>Ovo 59</t>
  </si>
  <si>
    <t>Ovo 60</t>
  </si>
  <si>
    <t>Ovo 61</t>
  </si>
  <si>
    <t>Ovo 62</t>
  </si>
  <si>
    <t>Ovo 63</t>
  </si>
  <si>
    <t>Ovo 64</t>
  </si>
  <si>
    <t>Ovo 65</t>
  </si>
  <si>
    <t>Ovo 66</t>
  </si>
  <si>
    <t>Ovo 67</t>
  </si>
  <si>
    <t>Ovo 68</t>
  </si>
  <si>
    <t>Ovo 69</t>
  </si>
  <si>
    <t>Ovo 70</t>
  </si>
  <si>
    <t>Ovo 71</t>
  </si>
  <si>
    <t>Ovo 72</t>
  </si>
  <si>
    <t>Ovo 73</t>
  </si>
  <si>
    <t>Ovo 74</t>
  </si>
  <si>
    <t>Ovo 75</t>
  </si>
  <si>
    <t>Ovo 76</t>
  </si>
  <si>
    <t>Ovo 77</t>
  </si>
  <si>
    <t>Ovo 78</t>
  </si>
  <si>
    <t>Ovo 79</t>
  </si>
  <si>
    <t>Ovo 80</t>
  </si>
  <si>
    <t>Ovo 81</t>
  </si>
  <si>
    <t>Ovo 82</t>
  </si>
  <si>
    <t>Ovo 83</t>
  </si>
  <si>
    <t>Ovo 84</t>
  </si>
  <si>
    <t>Ovo 85</t>
  </si>
  <si>
    <t>Ovo 86</t>
  </si>
  <si>
    <t>Ovo 87</t>
  </si>
  <si>
    <t>Ovo 88</t>
  </si>
  <si>
    <t>Ovo 89</t>
  </si>
  <si>
    <t>Ovo 90</t>
  </si>
  <si>
    <t>Ovo 91</t>
  </si>
  <si>
    <t>Ovo 92</t>
  </si>
  <si>
    <t>Ovo 93</t>
  </si>
  <si>
    <t>Ovo 94</t>
  </si>
  <si>
    <t>Ovo 95</t>
  </si>
  <si>
    <t>Ovo 96</t>
  </si>
  <si>
    <t>Ovo 97</t>
  </si>
  <si>
    <t>Ovo 98</t>
  </si>
  <si>
    <t>Ovo 99</t>
  </si>
  <si>
    <t>Ovo 100</t>
  </si>
  <si>
    <t>Ovo 101</t>
  </si>
  <si>
    <t>Ovo 102</t>
  </si>
  <si>
    <t>Ovo 103</t>
  </si>
  <si>
    <t>Ovo 104</t>
  </si>
  <si>
    <t>Ovo 105</t>
  </si>
  <si>
    <t>Ovo 106</t>
  </si>
  <si>
    <t>Ovo 107</t>
  </si>
  <si>
    <t>Ovo 108</t>
  </si>
  <si>
    <t>Ovo 109</t>
  </si>
  <si>
    <t>Ovo 110</t>
  </si>
  <si>
    <t>Ovo 111</t>
  </si>
  <si>
    <t>Ovo 112</t>
  </si>
  <si>
    <t>Ovo 113</t>
  </si>
  <si>
    <t>Ovo 114</t>
  </si>
  <si>
    <t>Ovo 115</t>
  </si>
  <si>
    <t>Ovo 116</t>
  </si>
  <si>
    <t>Ovo 117</t>
  </si>
  <si>
    <t>Ovo 118</t>
  </si>
  <si>
    <t>Ovo 119</t>
  </si>
  <si>
    <t>Ovo 120</t>
  </si>
  <si>
    <t>Ovo 121</t>
  </si>
  <si>
    <t>Ovo 122</t>
  </si>
  <si>
    <t>Ovo 123</t>
  </si>
  <si>
    <t>Ovo 124</t>
  </si>
  <si>
    <t>Ovo 125</t>
  </si>
  <si>
    <t>Ovo 126</t>
  </si>
  <si>
    <t>Ovo 127</t>
  </si>
  <si>
    <t>Ovo 128</t>
  </si>
  <si>
    <t>Ovo 129</t>
  </si>
  <si>
    <t>Ovo 130</t>
  </si>
  <si>
    <t>Ovo 131</t>
  </si>
  <si>
    <t>Ovo 132</t>
  </si>
  <si>
    <t>Ovo 133</t>
  </si>
  <si>
    <t>Ovo 134</t>
  </si>
  <si>
    <t>Ovo 135</t>
  </si>
  <si>
    <t>Ovo 136</t>
  </si>
  <si>
    <t>Ovo 137</t>
  </si>
  <si>
    <t>Ovo 138</t>
  </si>
  <si>
    <t>Ovo 139</t>
  </si>
  <si>
    <t>Ovo 140</t>
  </si>
  <si>
    <t>Ovo 141</t>
  </si>
  <si>
    <t>Ovo 142</t>
  </si>
  <si>
    <t>Ovo 143</t>
  </si>
  <si>
    <t>Ovo 144</t>
  </si>
  <si>
    <t>Ovo 145</t>
  </si>
  <si>
    <t>Ovo 146</t>
  </si>
  <si>
    <t>Ovo 147</t>
  </si>
  <si>
    <t>Ovo 148</t>
  </si>
  <si>
    <t>Ovo 149</t>
  </si>
  <si>
    <t>Ovo 150</t>
  </si>
  <si>
    <t>Ovo 151</t>
  </si>
  <si>
    <t>Ovo 152</t>
  </si>
  <si>
    <t>Ovo 153</t>
  </si>
  <si>
    <t>Ovo 154</t>
  </si>
  <si>
    <t>Ovo 155</t>
  </si>
  <si>
    <t>Ovo 156</t>
  </si>
  <si>
    <t>Ovo 157</t>
  </si>
  <si>
    <t>Ovo 158</t>
  </si>
  <si>
    <t>Ovo 159</t>
  </si>
  <si>
    <t>Ovo 160</t>
  </si>
  <si>
    <t>Ovo 161</t>
  </si>
  <si>
    <t>Ovo 162</t>
  </si>
  <si>
    <t>Ovo 163</t>
  </si>
  <si>
    <t>Ovo 164</t>
  </si>
  <si>
    <t>Ovo 165</t>
  </si>
  <si>
    <t>Ovo 166</t>
  </si>
  <si>
    <t>Ovo 167</t>
  </si>
  <si>
    <t>Ovo 168</t>
  </si>
  <si>
    <t>Ovo 169</t>
  </si>
  <si>
    <t>Ovo 170</t>
  </si>
  <si>
    <t>Ovo 171</t>
  </si>
  <si>
    <t>Ovo 172</t>
  </si>
  <si>
    <t>Ovo 173</t>
  </si>
  <si>
    <t>Ovo 174</t>
  </si>
  <si>
    <t>Ovo 175</t>
  </si>
  <si>
    <t>Ovo 176</t>
  </si>
  <si>
    <t>Ovo 177</t>
  </si>
  <si>
    <t>Ovo 178</t>
  </si>
  <si>
    <t>Ovo 179</t>
  </si>
  <si>
    <t>Ovo 180</t>
  </si>
  <si>
    <t>Ovo 181</t>
  </si>
  <si>
    <t>Ovo 182</t>
  </si>
  <si>
    <t>Ovo 183</t>
  </si>
  <si>
    <t>Ovo 184</t>
  </si>
  <si>
    <t>Ovo 185</t>
  </si>
  <si>
    <t>Ovo 186</t>
  </si>
  <si>
    <t>Ovo 187</t>
  </si>
  <si>
    <t>Ovo 188</t>
  </si>
  <si>
    <t>Ovo 189</t>
  </si>
  <si>
    <t>Ovo 190</t>
  </si>
  <si>
    <t>Ovo 191</t>
  </si>
  <si>
    <t>Ovo 192</t>
  </si>
  <si>
    <t>Ovo 193</t>
  </si>
  <si>
    <t>Ovo 194</t>
  </si>
  <si>
    <t>Ovo 195</t>
  </si>
  <si>
    <t>Ovo 196</t>
  </si>
  <si>
    <t>Ovo 197</t>
  </si>
  <si>
    <t>Ovo 198</t>
  </si>
  <si>
    <t>Ovo 199</t>
  </si>
  <si>
    <t>Ovo 200</t>
  </si>
  <si>
    <t>Ovo 201</t>
  </si>
  <si>
    <t>Ovo 202</t>
  </si>
  <si>
    <t>Ovo 203</t>
  </si>
  <si>
    <t>Ovo 204</t>
  </si>
  <si>
    <t>Ovo 205</t>
  </si>
  <si>
    <t>Ovo 206</t>
  </si>
  <si>
    <t>Ovo 207</t>
  </si>
  <si>
    <t>Ovo 208</t>
  </si>
  <si>
    <t>Ovo 209</t>
  </si>
  <si>
    <t>Ovo 210</t>
  </si>
  <si>
    <t>Ovo 211</t>
  </si>
  <si>
    <t>Ovo 212</t>
  </si>
  <si>
    <t>Ovo 213</t>
  </si>
  <si>
    <t>Ovo 214</t>
  </si>
  <si>
    <t>Ovo 215</t>
  </si>
  <si>
    <t>Ovo 216</t>
  </si>
  <si>
    <t>Ovo 217</t>
  </si>
  <si>
    <t>Ovo 218</t>
  </si>
  <si>
    <t>Ovo 219</t>
  </si>
  <si>
    <t>Ovo 220</t>
  </si>
  <si>
    <t>Ovo 221</t>
  </si>
  <si>
    <t>Ovo 222</t>
  </si>
  <si>
    <t>Ovo 223</t>
  </si>
  <si>
    <t>Ovo 224</t>
  </si>
  <si>
    <t>Ovo 225</t>
  </si>
  <si>
    <t>Ovo 226</t>
  </si>
  <si>
    <t>Ovo 227</t>
  </si>
  <si>
    <t>Ovo 228</t>
  </si>
  <si>
    <t>Ovo 229</t>
  </si>
  <si>
    <t>Ovo 230</t>
  </si>
  <si>
    <t>Ovo 231</t>
  </si>
  <si>
    <t>Ovo 232</t>
  </si>
  <si>
    <t>Ovo 233</t>
  </si>
  <si>
    <t>Ovo 234</t>
  </si>
  <si>
    <t>Ovo 235</t>
  </si>
  <si>
    <t>Ovo 236</t>
  </si>
  <si>
    <t>Ovo 237</t>
  </si>
  <si>
    <t>Ovo 238</t>
  </si>
  <si>
    <t>Ovo 239</t>
  </si>
  <si>
    <t>Ovo 240</t>
  </si>
  <si>
    <t>Ovo 241</t>
  </si>
  <si>
    <t>Ovo 242</t>
  </si>
  <si>
    <t>Ovo 243</t>
  </si>
  <si>
    <t>Ovo 244</t>
  </si>
  <si>
    <t>Ovo 245</t>
  </si>
  <si>
    <t>Ovo 246</t>
  </si>
  <si>
    <t>Ovo 247</t>
  </si>
  <si>
    <t>Ovo 248</t>
  </si>
  <si>
    <t>Ovo 249</t>
  </si>
  <si>
    <t>Ovo 250</t>
  </si>
  <si>
    <t>Ovo 251</t>
  </si>
  <si>
    <t>Ovo 252</t>
  </si>
  <si>
    <t>Ovo 253</t>
  </si>
  <si>
    <t>Ovo 254</t>
  </si>
  <si>
    <t>Ovo 255</t>
  </si>
  <si>
    <t>Ovo 256</t>
  </si>
  <si>
    <t>Ovo 257</t>
  </si>
  <si>
    <t>Ovo 258</t>
  </si>
  <si>
    <t>Ovo 259</t>
  </si>
  <si>
    <t>Ovo 260</t>
  </si>
  <si>
    <t>Ovo 261</t>
  </si>
  <si>
    <t>Ovo 262</t>
  </si>
  <si>
    <t>Ovo 263</t>
  </si>
  <si>
    <t>Ovo 264</t>
  </si>
  <si>
    <t>Ovo 265</t>
  </si>
  <si>
    <t>Ovo 266</t>
  </si>
  <si>
    <t>Ovo 267</t>
  </si>
  <si>
    <t>Ovo 268</t>
  </si>
  <si>
    <t>Ovo 269</t>
  </si>
  <si>
    <t>Ovo 270</t>
  </si>
  <si>
    <t>Ovo 271</t>
  </si>
  <si>
    <t>Ovo 272</t>
  </si>
  <si>
    <t>Ovo 273</t>
  </si>
  <si>
    <t>Ovo 274</t>
  </si>
  <si>
    <t>Ovo 275</t>
  </si>
  <si>
    <t>Ovo 276</t>
  </si>
  <si>
    <t>Ovo 277</t>
  </si>
  <si>
    <t>Ovo 278</t>
  </si>
  <si>
    <t>Ovo 279</t>
  </si>
  <si>
    <t>Ovo 280</t>
  </si>
  <si>
    <t>Ovo 281</t>
  </si>
  <si>
    <t>Ovo 282</t>
  </si>
  <si>
    <t>Ovo 283</t>
  </si>
  <si>
    <t>Ovo 284</t>
  </si>
  <si>
    <t>Ovo 285</t>
  </si>
  <si>
    <t>Ovo 286</t>
  </si>
  <si>
    <t>Ovo 287</t>
  </si>
  <si>
    <t>Ovo 288</t>
  </si>
  <si>
    <t>Ovo 289</t>
  </si>
  <si>
    <t>Ovo 290</t>
  </si>
  <si>
    <t>Ovo 291</t>
  </si>
  <si>
    <t>Ovo 292</t>
  </si>
  <si>
    <t>Ovo 293</t>
  </si>
  <si>
    <t>Ovo 294</t>
  </si>
  <si>
    <t>Ovo 295</t>
  </si>
  <si>
    <t>Ovo 296</t>
  </si>
  <si>
    <t>Ovo 297</t>
  </si>
  <si>
    <t>Ovo 298</t>
  </si>
  <si>
    <t>Ovo 299</t>
  </si>
  <si>
    <t>Ovo 300</t>
  </si>
  <si>
    <t>Granja:</t>
  </si>
  <si>
    <t>Lote:</t>
  </si>
  <si>
    <t>Data de alojamento:</t>
  </si>
  <si>
    <t>Qtd. Alojada:</t>
  </si>
  <si>
    <t>Real</t>
  </si>
  <si>
    <t>Padrão</t>
  </si>
  <si>
    <t>Unif</t>
  </si>
  <si>
    <t>Ovo real</t>
  </si>
  <si>
    <t>Ovo Padrão</t>
  </si>
  <si>
    <t>Tipo</t>
  </si>
  <si>
    <t>A</t>
  </si>
  <si>
    <t>B</t>
  </si>
  <si>
    <t>C</t>
  </si>
  <si>
    <t>-</t>
  </si>
  <si>
    <t>Divinópolis</t>
  </si>
  <si>
    <t>Ave</t>
  </si>
  <si>
    <t>Peso médio</t>
  </si>
  <si>
    <t>Peso padrão</t>
  </si>
  <si>
    <t>Aloj.</t>
  </si>
  <si>
    <t>PR3</t>
  </si>
  <si>
    <t>Selecionar semana:</t>
  </si>
  <si>
    <t>&lt;10%</t>
  </si>
  <si>
    <t>&gt;10%</t>
  </si>
  <si>
    <t>Unif.</t>
  </si>
  <si>
    <t>y</t>
  </si>
  <si>
    <t>Min</t>
  </si>
  <si>
    <t>Normal distr. Curve</t>
  </si>
  <si>
    <t>Max</t>
  </si>
  <si>
    <t>x</t>
  </si>
  <si>
    <t>Intervals</t>
  </si>
  <si>
    <t>stdev</t>
  </si>
  <si>
    <t>Total de aves</t>
  </si>
  <si>
    <t>Ovo</t>
  </si>
  <si>
    <t>Categoria</t>
  </si>
  <si>
    <t>Qtd</t>
  </si>
  <si>
    <t>OVOS</t>
  </si>
  <si>
    <t>Tipo pred.</t>
  </si>
  <si>
    <t>PESO</t>
  </si>
  <si>
    <t>AVES</t>
  </si>
  <si>
    <t>Teste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</si>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</sst>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%"/>
    <numFmt numFmtId="165" formatCode="&quot;Foram pesadas&quot;\ 0\ &quot;aves&quot;"/>
    <numFmt numFmtId="166" formatCode="0\ &quot;g&quot;"/>
    <numFmt numFmtId="167" formatCode="_-* #,##0_-;\-* #,##0_-;_-* &quot;-&quot;??_-;_-@_-"/>
    <numFmt numFmtId="168" formatCode="0.0"/>
    <numFmt numFmtId="169" formatCode="0\ &quot;Chegada&quot;"/>
    <numFmt numFmtId="170" formatCode="0.00\ &quot;g&quot;"/>
    <numFmt numFmtId="171" formatCode="General\ &quot;g&quot;"/>
    <numFmt numFmtId="172" formatCode="0.00000"/>
    <numFmt numFmtId="173" formatCode="0.000"/>
    <numFmt numFmtId="174" formatCode="\+0.00%;\-0.00%;0.00%"/>
    <numFmt numFmtId="175" formatCode="0.0\ &quot;g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8" borderId="1" xfId="0" applyFont="1" applyFill="1" applyBorder="1" applyAlignment="1" applyProtection="1">
      <alignment horizontal="center" vertical="center"/>
      <protection locked="0"/>
    </xf>
    <xf numFmtId="10" fontId="3" fillId="9" borderId="1" xfId="2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7" fontId="3" fillId="8" borderId="8" xfId="1" applyNumberFormat="1" applyFont="1" applyFill="1" applyBorder="1" applyAlignment="1" applyProtection="1">
      <alignment horizontal="center" vertical="center"/>
      <protection locked="0"/>
    </xf>
    <xf numFmtId="14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9" fontId="6" fillId="2" borderId="5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165" fontId="16" fillId="2" borderId="4" xfId="0" applyNumberFormat="1" applyFont="1" applyFill="1" applyBorder="1" applyAlignment="1">
      <alignment horizontal="center" vertical="center" wrapText="1"/>
    </xf>
    <xf numFmtId="170" fontId="4" fillId="4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70" fontId="20" fillId="4" borderId="1" xfId="0" applyNumberFormat="1" applyFont="1" applyFill="1" applyBorder="1" applyAlignment="1">
      <alignment horizontal="center" vertical="center"/>
    </xf>
    <xf numFmtId="10" fontId="21" fillId="9" borderId="1" xfId="2" applyNumberFormat="1" applyFont="1" applyFill="1" applyBorder="1" applyAlignment="1">
      <alignment horizontal="center" vertical="center"/>
    </xf>
    <xf numFmtId="0" fontId="0" fillId="9" borderId="1" xfId="2" applyNumberFormat="1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9" borderId="0" xfId="0" applyFont="1" applyFill="1" applyAlignment="1">
      <alignment horizontal="right"/>
    </xf>
    <xf numFmtId="0" fontId="0" fillId="9" borderId="0" xfId="0" applyFill="1" applyAlignment="1">
      <alignment vertical="center"/>
    </xf>
    <xf numFmtId="0" fontId="22" fillId="10" borderId="1" xfId="0" applyFont="1" applyFill="1" applyBorder="1" applyAlignment="1">
      <alignment vertical="center"/>
    </xf>
    <xf numFmtId="0" fontId="22" fillId="10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3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66" fontId="3" fillId="7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0" fontId="3" fillId="7" borderId="9" xfId="0" applyNumberFormat="1" applyFont="1" applyFill="1" applyBorder="1" applyAlignment="1" applyProtection="1">
      <alignment horizontal="center" vertical="center"/>
      <protection locked="0"/>
    </xf>
    <xf numFmtId="170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/>
    </xf>
    <xf numFmtId="0" fontId="10" fillId="9" borderId="0" xfId="0" applyFont="1" applyFill="1"/>
    <xf numFmtId="9" fontId="23" fillId="10" borderId="0" xfId="2" applyFont="1" applyFill="1" applyBorder="1" applyAlignment="1">
      <alignment horizontal="center"/>
    </xf>
    <xf numFmtId="1" fontId="0" fillId="10" borderId="0" xfId="0" applyNumberFormat="1" applyFill="1" applyAlignment="1">
      <alignment horizontal="center"/>
    </xf>
    <xf numFmtId="9" fontId="0" fillId="10" borderId="0" xfId="2" applyFon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9" fontId="0" fillId="4" borderId="0" xfId="2" applyFont="1" applyFill="1" applyBorder="1" applyAlignment="1">
      <alignment horizontal="center"/>
    </xf>
    <xf numFmtId="171" fontId="23" fillId="4" borderId="0" xfId="0" applyNumberFormat="1" applyFont="1" applyFill="1" applyAlignment="1">
      <alignment horizontal="left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168" fontId="0" fillId="10" borderId="0" xfId="0" applyNumberFormat="1" applyFill="1" applyAlignment="1">
      <alignment horizontal="center"/>
    </xf>
    <xf numFmtId="168" fontId="0" fillId="4" borderId="0" xfId="0" applyNumberFormat="1" applyFill="1" applyAlignment="1">
      <alignment horizontal="center"/>
    </xf>
    <xf numFmtId="0" fontId="10" fillId="9" borderId="0" xfId="0" applyFont="1" applyFill="1" applyAlignment="1">
      <alignment horizontal="center"/>
    </xf>
    <xf numFmtId="172" fontId="10" fillId="9" borderId="0" xfId="0" applyNumberFormat="1" applyFont="1" applyFill="1"/>
    <xf numFmtId="173" fontId="10" fillId="9" borderId="0" xfId="0" applyNumberFormat="1" applyFont="1" applyFill="1"/>
    <xf numFmtId="2" fontId="10" fillId="9" borderId="0" xfId="0" applyNumberFormat="1" applyFont="1" applyFill="1"/>
    <xf numFmtId="170" fontId="23" fillId="10" borderId="0" xfId="0" applyNumberFormat="1" applyFont="1" applyFill="1" applyAlignment="1">
      <alignment horizontal="left"/>
    </xf>
    <xf numFmtId="174" fontId="7" fillId="9" borderId="0" xfId="0" applyNumberFormat="1" applyFont="1" applyFill="1"/>
    <xf numFmtId="0" fontId="24" fillId="2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/>
    </xf>
    <xf numFmtId="175" fontId="23" fillId="10" borderId="0" xfId="0" applyNumberFormat="1" applyFont="1" applyFill="1" applyAlignment="1">
      <alignment horizontal="left"/>
    </xf>
    <xf numFmtId="166" fontId="4" fillId="4" borderId="1" xfId="0" applyNumberFormat="1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0" fontId="17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9" fontId="3" fillId="3" borderId="1" xfId="2" applyFont="1" applyFill="1" applyBorder="1" applyAlignment="1" applyProtection="1">
      <alignment horizontal="center" vertical="center"/>
    </xf>
    <xf numFmtId="10" fontId="3" fillId="9" borderId="1" xfId="2" applyNumberFormat="1" applyFont="1" applyFill="1" applyBorder="1" applyAlignment="1" applyProtection="1">
      <alignment horizontal="center" vertical="center"/>
    </xf>
    <xf numFmtId="168" fontId="13" fillId="8" borderId="1" xfId="0" applyNumberFormat="1" applyFont="1" applyFill="1" applyBorder="1" applyAlignment="1">
      <alignment horizontal="center" vertical="center"/>
    </xf>
    <xf numFmtId="164" fontId="0" fillId="3" borderId="1" xfId="2" applyNumberFormat="1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9" fontId="7" fillId="9" borderId="0" xfId="0" applyNumberFormat="1" applyFont="1" applyFill="1"/>
    <xf numFmtId="1" fontId="7" fillId="9" borderId="0" xfId="0" applyNumberFormat="1" applyFont="1" applyFill="1"/>
    <xf numFmtId="0" fontId="7" fillId="9" borderId="0" xfId="0" applyFont="1" applyFill="1" applyAlignment="1">
      <alignment horizontal="center"/>
    </xf>
    <xf numFmtId="0" fontId="7" fillId="9" borderId="0" xfId="0" applyFont="1" applyFill="1"/>
    <xf numFmtId="2" fontId="7" fillId="9" borderId="0" xfId="0" applyNumberFormat="1" applyFont="1" applyFill="1"/>
    <xf numFmtId="0" fontId="7" fillId="0" borderId="0" xfId="5" applyFont="1" applyAlignment="1">
      <alignment vertical="center"/>
    </xf>
    <xf numFmtId="1" fontId="7" fillId="0" borderId="0" xfId="5" applyNumberFormat="1" applyFont="1" applyAlignment="1">
      <alignment vertical="center"/>
    </xf>
    <xf numFmtId="0" fontId="7" fillId="0" borderId="0" xfId="5" applyFont="1" applyAlignment="1">
      <alignment horizontal="center" vertical="center"/>
    </xf>
    <xf numFmtId="1" fontId="7" fillId="0" borderId="0" xfId="5" applyNumberFormat="1" applyFont="1" applyAlignment="1">
      <alignment horizontal="center" vertical="center"/>
    </xf>
    <xf numFmtId="173" fontId="7" fillId="0" borderId="0" xfId="5" applyNumberFormat="1" applyFont="1" applyAlignment="1">
      <alignment vertical="center"/>
    </xf>
    <xf numFmtId="173" fontId="7" fillId="0" borderId="0" xfId="5" applyNumberFormat="1" applyFont="1" applyAlignment="1">
      <alignment horizontal="center" vertical="center"/>
    </xf>
    <xf numFmtId="2" fontId="7" fillId="0" borderId="0" xfId="5" applyNumberFormat="1" applyFont="1" applyAlignment="1">
      <alignment vertical="center"/>
    </xf>
    <xf numFmtId="173" fontId="7" fillId="0" borderId="0" xfId="8" applyNumberFormat="1" applyFont="1" applyAlignment="1">
      <alignment horizontal="right" vertical="center"/>
    </xf>
    <xf numFmtId="1" fontId="7" fillId="9" borderId="0" xfId="0" applyNumberFormat="1" applyFont="1" applyFill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12" fillId="8" borderId="7" xfId="0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 applyProtection="1">
      <alignment horizontal="center" vertical="center"/>
      <protection locked="0"/>
    </xf>
    <xf numFmtId="0" fontId="25" fillId="8" borderId="8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Alignment="1">
      <alignment horizontal="center" vertical="center" textRotation="45"/>
    </xf>
    <xf numFmtId="0" fontId="1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0" fillId="4" borderId="0" xfId="0" applyFill="1" applyAlignment="1" applyProtection="1">
      <alignment horizontal="center"/>
      <protection locked="0"/>
    </xf>
    <xf numFmtId="0" fontId="0" fillId="10" borderId="0" xfId="0" applyFill="1" applyAlignment="1" applyProtection="1">
      <alignment horizontal="center"/>
      <protection locked="0"/>
    </xf>
    <xf numFmtId="14" fontId="0" fillId="4" borderId="0" xfId="0" applyNumberFormat="1" applyFill="1" applyAlignment="1" applyProtection="1">
      <alignment horizontal="center"/>
      <protection locked="0"/>
    </xf>
    <xf numFmtId="167" fontId="0" fillId="4" borderId="0" xfId="1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14" fontId="22" fillId="4" borderId="14" xfId="0" applyNumberFormat="1" applyFont="1" applyFill="1" applyBorder="1" applyAlignment="1" applyProtection="1">
      <alignment horizontal="center"/>
      <protection locked="0"/>
    </xf>
  </cellXfs>
  <cellStyles count="10">
    <cellStyle name="Normal" xfId="0" builtinId="0"/>
    <cellStyle name="Normal 2" xfId="5" xr:uid="{9F1C05D7-434B-433E-8C17-FDF806DBC4FD}"/>
    <cellStyle name="Normal 2 2" xfId="8" xr:uid="{C06CE786-FC14-4842-9162-923BF5E06745}"/>
    <cellStyle name="Normal 3" xfId="7" xr:uid="{A81A271B-1294-43A8-8FC6-9CCAE9C7E1C8}"/>
    <cellStyle name="Normal 4" xfId="3" xr:uid="{B58BFEBE-F5DE-4530-9E80-1424C5AFABF2}"/>
    <cellStyle name="Percent 2" xfId="6" xr:uid="{D34ADE38-EE02-43BC-A982-EA0AD9937336}"/>
    <cellStyle name="Percent 2 2" xfId="9" xr:uid="{AFF4DCCA-D7D4-4796-991D-1D94263E410E}"/>
    <cellStyle name="Porcentagem" xfId="2" builtinId="5"/>
    <cellStyle name="Porcentagem 2" xfId="4" xr:uid="{EAF6784C-AF86-4EE3-9FB4-6DE3966DC39E}"/>
    <cellStyle name="Vírgula" xfId="1" builtinId="3"/>
  </cellStyles>
  <dxfs count="211"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/>
      </font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70" formatCode="0.00\ &quot;g&quot;"/>
      <fill>
        <patternFill patternType="solid">
          <fgColor rgb="FF000000"/>
          <bgColor rgb="FFAEAAAA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\ &quot;g&quot;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hidden="0"/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rgb="FFFFC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Peso</a:t>
            </a:r>
            <a:r>
              <a:rPr lang="pt-BR" baseline="0"/>
              <a:t> e uniformidade recria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AVES!$G$2</c:f>
              <c:strCache>
                <c:ptCount val="1"/>
                <c:pt idx="0">
                  <c:v>Peso Padrão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AVES!$H$1:$AD$1</c:f>
              <c:strCache>
                <c:ptCount val="23"/>
                <c:pt idx="0">
                  <c:v>Chegada Matriz A</c:v>
                </c:pt>
                <c:pt idx="1">
                  <c:v>Chegada Matriz B</c:v>
                </c:pt>
                <c:pt idx="2">
                  <c:v>Chegada Matriz C</c:v>
                </c:pt>
                <c:pt idx="3">
                  <c:v>Sem 1</c:v>
                </c:pt>
                <c:pt idx="4">
                  <c:v>Sem 2</c:v>
                </c:pt>
                <c:pt idx="5">
                  <c:v>Sem 3</c:v>
                </c:pt>
                <c:pt idx="6">
                  <c:v>Sem 4</c:v>
                </c:pt>
                <c:pt idx="7">
                  <c:v>Sem 5</c:v>
                </c:pt>
                <c:pt idx="8">
                  <c:v>Sem 6</c:v>
                </c:pt>
                <c:pt idx="9">
                  <c:v>Sem 7</c:v>
                </c:pt>
                <c:pt idx="10">
                  <c:v>Sem 8</c:v>
                </c:pt>
                <c:pt idx="11">
                  <c:v>Sem 9</c:v>
                </c:pt>
                <c:pt idx="12">
                  <c:v>Sem 10</c:v>
                </c:pt>
                <c:pt idx="13">
                  <c:v>Sem 11</c:v>
                </c:pt>
                <c:pt idx="14">
                  <c:v>Sem 12</c:v>
                </c:pt>
                <c:pt idx="15">
                  <c:v>Sem 13</c:v>
                </c:pt>
                <c:pt idx="16">
                  <c:v>Sem 14</c:v>
                </c:pt>
                <c:pt idx="17">
                  <c:v>Sem 15</c:v>
                </c:pt>
                <c:pt idx="18">
                  <c:v>Sem 16</c:v>
                </c:pt>
                <c:pt idx="19">
                  <c:v>Sem 17</c:v>
                </c:pt>
                <c:pt idx="20">
                  <c:v>Sem 18</c:v>
                </c:pt>
                <c:pt idx="21">
                  <c:v>Sem 19</c:v>
                </c:pt>
                <c:pt idx="22">
                  <c:v>Sem 20</c:v>
                </c:pt>
              </c:strCache>
            </c:strRef>
          </c:cat>
          <c:val>
            <c:numRef>
              <c:f>AVES!$H$2:$AD$2</c:f>
              <c:numCache>
                <c:formatCode>General</c:formatCode>
                <c:ptCount val="23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65</c:v>
                </c:pt>
                <c:pt idx="4">
                  <c:v>116</c:v>
                </c:pt>
                <c:pt idx="5">
                  <c:v>175</c:v>
                </c:pt>
                <c:pt idx="6">
                  <c:v>245</c:v>
                </c:pt>
                <c:pt idx="7">
                  <c:v>325</c:v>
                </c:pt>
                <c:pt idx="8">
                  <c:v>410</c:v>
                </c:pt>
                <c:pt idx="9">
                  <c:v>496</c:v>
                </c:pt>
                <c:pt idx="10">
                  <c:v>582</c:v>
                </c:pt>
                <c:pt idx="11">
                  <c:v>665</c:v>
                </c:pt>
                <c:pt idx="12">
                  <c:v>745</c:v>
                </c:pt>
                <c:pt idx="13">
                  <c:v>822</c:v>
                </c:pt>
                <c:pt idx="14">
                  <c:v>896</c:v>
                </c:pt>
                <c:pt idx="15">
                  <c:v>967</c:v>
                </c:pt>
                <c:pt idx="16">
                  <c:v>1035</c:v>
                </c:pt>
                <c:pt idx="17">
                  <c:v>1101</c:v>
                </c:pt>
                <c:pt idx="18">
                  <c:v>1168</c:v>
                </c:pt>
                <c:pt idx="19">
                  <c:v>1235</c:v>
                </c:pt>
                <c:pt idx="20">
                  <c:v>1300</c:v>
                </c:pt>
                <c:pt idx="21">
                  <c:v>1358</c:v>
                </c:pt>
                <c:pt idx="22">
                  <c:v>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0-4A3D-A33C-52313D11A8A4}"/>
            </c:ext>
          </c:extLst>
        </c:ser>
        <c:ser>
          <c:idx val="1"/>
          <c:order val="1"/>
          <c:tx>
            <c:strRef>
              <c:f>AVES!$G$3</c:f>
              <c:strCache>
                <c:ptCount val="1"/>
                <c:pt idx="0">
                  <c:v>Peso Real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AVES!$H$1:$AD$1</c:f>
              <c:strCache>
                <c:ptCount val="23"/>
                <c:pt idx="0">
                  <c:v>Chegada Matriz A</c:v>
                </c:pt>
                <c:pt idx="1">
                  <c:v>Chegada Matriz B</c:v>
                </c:pt>
                <c:pt idx="2">
                  <c:v>Chegada Matriz C</c:v>
                </c:pt>
                <c:pt idx="3">
                  <c:v>Sem 1</c:v>
                </c:pt>
                <c:pt idx="4">
                  <c:v>Sem 2</c:v>
                </c:pt>
                <c:pt idx="5">
                  <c:v>Sem 3</c:v>
                </c:pt>
                <c:pt idx="6">
                  <c:v>Sem 4</c:v>
                </c:pt>
                <c:pt idx="7">
                  <c:v>Sem 5</c:v>
                </c:pt>
                <c:pt idx="8">
                  <c:v>Sem 6</c:v>
                </c:pt>
                <c:pt idx="9">
                  <c:v>Sem 7</c:v>
                </c:pt>
                <c:pt idx="10">
                  <c:v>Sem 8</c:v>
                </c:pt>
                <c:pt idx="11">
                  <c:v>Sem 9</c:v>
                </c:pt>
                <c:pt idx="12">
                  <c:v>Sem 10</c:v>
                </c:pt>
                <c:pt idx="13">
                  <c:v>Sem 11</c:v>
                </c:pt>
                <c:pt idx="14">
                  <c:v>Sem 12</c:v>
                </c:pt>
                <c:pt idx="15">
                  <c:v>Sem 13</c:v>
                </c:pt>
                <c:pt idx="16">
                  <c:v>Sem 14</c:v>
                </c:pt>
                <c:pt idx="17">
                  <c:v>Sem 15</c:v>
                </c:pt>
                <c:pt idx="18">
                  <c:v>Sem 16</c:v>
                </c:pt>
                <c:pt idx="19">
                  <c:v>Sem 17</c:v>
                </c:pt>
                <c:pt idx="20">
                  <c:v>Sem 18</c:v>
                </c:pt>
                <c:pt idx="21">
                  <c:v>Sem 19</c:v>
                </c:pt>
                <c:pt idx="22">
                  <c:v>Sem 20</c:v>
                </c:pt>
              </c:strCache>
            </c:strRef>
          </c:cat>
          <c:val>
            <c:numRef>
              <c:f>AVES!$H$3:$AD$3</c:f>
              <c:numCache>
                <c:formatCode>0\ "g"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0-4A3D-A33C-52313D11A8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7983816"/>
        <c:axId val="1347981296"/>
      </c:barChart>
      <c:lineChart>
        <c:grouping val="standard"/>
        <c:varyColors val="0"/>
        <c:ser>
          <c:idx val="2"/>
          <c:order val="2"/>
          <c:tx>
            <c:strRef>
              <c:f>AVES!$G$4</c:f>
              <c:strCache>
                <c:ptCount val="1"/>
                <c:pt idx="0">
                  <c:v>Unif. Padrão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AVES!$H$1:$AD$1</c:f>
              <c:strCache>
                <c:ptCount val="23"/>
                <c:pt idx="0">
                  <c:v>Chegada Matriz A</c:v>
                </c:pt>
                <c:pt idx="1">
                  <c:v>Chegada Matriz B</c:v>
                </c:pt>
                <c:pt idx="2">
                  <c:v>Chegada Matriz C</c:v>
                </c:pt>
                <c:pt idx="3">
                  <c:v>Sem 1</c:v>
                </c:pt>
                <c:pt idx="4">
                  <c:v>Sem 2</c:v>
                </c:pt>
                <c:pt idx="5">
                  <c:v>Sem 3</c:v>
                </c:pt>
                <c:pt idx="6">
                  <c:v>Sem 4</c:v>
                </c:pt>
                <c:pt idx="7">
                  <c:v>Sem 5</c:v>
                </c:pt>
                <c:pt idx="8">
                  <c:v>Sem 6</c:v>
                </c:pt>
                <c:pt idx="9">
                  <c:v>Sem 7</c:v>
                </c:pt>
                <c:pt idx="10">
                  <c:v>Sem 8</c:v>
                </c:pt>
                <c:pt idx="11">
                  <c:v>Sem 9</c:v>
                </c:pt>
                <c:pt idx="12">
                  <c:v>Sem 10</c:v>
                </c:pt>
                <c:pt idx="13">
                  <c:v>Sem 11</c:v>
                </c:pt>
                <c:pt idx="14">
                  <c:v>Sem 12</c:v>
                </c:pt>
                <c:pt idx="15">
                  <c:v>Sem 13</c:v>
                </c:pt>
                <c:pt idx="16">
                  <c:v>Sem 14</c:v>
                </c:pt>
                <c:pt idx="17">
                  <c:v>Sem 15</c:v>
                </c:pt>
                <c:pt idx="18">
                  <c:v>Sem 16</c:v>
                </c:pt>
                <c:pt idx="19">
                  <c:v>Sem 17</c:v>
                </c:pt>
                <c:pt idx="20">
                  <c:v>Sem 18</c:v>
                </c:pt>
                <c:pt idx="21">
                  <c:v>Sem 19</c:v>
                </c:pt>
                <c:pt idx="22">
                  <c:v>Sem 20</c:v>
                </c:pt>
              </c:strCache>
            </c:strRef>
          </c:cat>
          <c:val>
            <c:numRef>
              <c:f>AVES!$H$4:$AD$4</c:f>
              <c:numCache>
                <c:formatCode>0.00%</c:formatCode>
                <c:ptCount val="23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0-4A3D-A33C-52313D11A8A4}"/>
            </c:ext>
          </c:extLst>
        </c:ser>
        <c:ser>
          <c:idx val="3"/>
          <c:order val="3"/>
          <c:tx>
            <c:strRef>
              <c:f>AVES!$G$5</c:f>
              <c:strCache>
                <c:ptCount val="1"/>
                <c:pt idx="0">
                  <c:v>Unif. Real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AVES!$H$1:$AD$1</c:f>
              <c:strCache>
                <c:ptCount val="23"/>
                <c:pt idx="0">
                  <c:v>Chegada Matriz A</c:v>
                </c:pt>
                <c:pt idx="1">
                  <c:v>Chegada Matriz B</c:v>
                </c:pt>
                <c:pt idx="2">
                  <c:v>Chegada Matriz C</c:v>
                </c:pt>
                <c:pt idx="3">
                  <c:v>Sem 1</c:v>
                </c:pt>
                <c:pt idx="4">
                  <c:v>Sem 2</c:v>
                </c:pt>
                <c:pt idx="5">
                  <c:v>Sem 3</c:v>
                </c:pt>
                <c:pt idx="6">
                  <c:v>Sem 4</c:v>
                </c:pt>
                <c:pt idx="7">
                  <c:v>Sem 5</c:v>
                </c:pt>
                <c:pt idx="8">
                  <c:v>Sem 6</c:v>
                </c:pt>
                <c:pt idx="9">
                  <c:v>Sem 7</c:v>
                </c:pt>
                <c:pt idx="10">
                  <c:v>Sem 8</c:v>
                </c:pt>
                <c:pt idx="11">
                  <c:v>Sem 9</c:v>
                </c:pt>
                <c:pt idx="12">
                  <c:v>Sem 10</c:v>
                </c:pt>
                <c:pt idx="13">
                  <c:v>Sem 11</c:v>
                </c:pt>
                <c:pt idx="14">
                  <c:v>Sem 12</c:v>
                </c:pt>
                <c:pt idx="15">
                  <c:v>Sem 13</c:v>
                </c:pt>
                <c:pt idx="16">
                  <c:v>Sem 14</c:v>
                </c:pt>
                <c:pt idx="17">
                  <c:v>Sem 15</c:v>
                </c:pt>
                <c:pt idx="18">
                  <c:v>Sem 16</c:v>
                </c:pt>
                <c:pt idx="19">
                  <c:v>Sem 17</c:v>
                </c:pt>
                <c:pt idx="20">
                  <c:v>Sem 18</c:v>
                </c:pt>
                <c:pt idx="21">
                  <c:v>Sem 19</c:v>
                </c:pt>
                <c:pt idx="22">
                  <c:v>Sem 20</c:v>
                </c:pt>
              </c:strCache>
            </c:strRef>
          </c:cat>
          <c:val>
            <c:numRef>
              <c:f>AVES!$H$5:$AD$5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0-4A3D-A33C-52313D11A8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7981656"/>
        <c:axId val="1347987416"/>
      </c:lineChart>
      <c:catAx>
        <c:axId val="1347983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7981296"/>
        <c:crosses val="autoZero"/>
        <c:auto val="1"/>
        <c:lblAlgn val="ctr"/>
        <c:lblOffset val="100"/>
        <c:noMultiLvlLbl val="0"/>
      </c:catAx>
      <c:valAx>
        <c:axId val="134798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7983816"/>
        <c:crosses val="autoZero"/>
        <c:crossBetween val="between"/>
      </c:valAx>
      <c:valAx>
        <c:axId val="1347987416"/>
        <c:scaling>
          <c:orientation val="minMax"/>
          <c:max val="1"/>
        </c:scaling>
        <c:delete val="0"/>
        <c:axPos val="r"/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7981656"/>
        <c:crosses val="max"/>
        <c:crossBetween val="between"/>
      </c:valAx>
      <c:catAx>
        <c:axId val="1347981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7987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Peso do ovo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OVOS'!$G$2</c:f>
              <c:strCache>
                <c:ptCount val="1"/>
                <c:pt idx="0">
                  <c:v>Peso Padrão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OVOS'!$H$1:$CO$1</c:f>
              <c:strCache>
                <c:ptCount val="86"/>
                <c:pt idx="0">
                  <c:v>Sem 15</c:v>
                </c:pt>
                <c:pt idx="1">
                  <c:v>Sem 16</c:v>
                </c:pt>
                <c:pt idx="2">
                  <c:v>Sem 17</c:v>
                </c:pt>
                <c:pt idx="3">
                  <c:v>Sem 18</c:v>
                </c:pt>
                <c:pt idx="4">
                  <c:v>Sem 19</c:v>
                </c:pt>
                <c:pt idx="5">
                  <c:v>Sem 20</c:v>
                </c:pt>
                <c:pt idx="6">
                  <c:v>Sem 21</c:v>
                </c:pt>
                <c:pt idx="7">
                  <c:v>Sem 22</c:v>
                </c:pt>
                <c:pt idx="8">
                  <c:v>Sem 23</c:v>
                </c:pt>
                <c:pt idx="9">
                  <c:v>Sem 24</c:v>
                </c:pt>
                <c:pt idx="10">
                  <c:v>Sem 25</c:v>
                </c:pt>
                <c:pt idx="11">
                  <c:v>Sem 26</c:v>
                </c:pt>
                <c:pt idx="12">
                  <c:v>Sem 27</c:v>
                </c:pt>
                <c:pt idx="13">
                  <c:v>Sem 28</c:v>
                </c:pt>
                <c:pt idx="14">
                  <c:v>Sem 29</c:v>
                </c:pt>
                <c:pt idx="15">
                  <c:v>Sem 30</c:v>
                </c:pt>
                <c:pt idx="16">
                  <c:v>Sem 31</c:v>
                </c:pt>
                <c:pt idx="17">
                  <c:v>Sem 32</c:v>
                </c:pt>
                <c:pt idx="18">
                  <c:v>Sem 33</c:v>
                </c:pt>
                <c:pt idx="19">
                  <c:v>Sem 34</c:v>
                </c:pt>
                <c:pt idx="20">
                  <c:v>Sem 35</c:v>
                </c:pt>
                <c:pt idx="21">
                  <c:v>Sem 36</c:v>
                </c:pt>
                <c:pt idx="22">
                  <c:v>Sem 37</c:v>
                </c:pt>
                <c:pt idx="23">
                  <c:v>Sem 38</c:v>
                </c:pt>
                <c:pt idx="24">
                  <c:v>Sem 39</c:v>
                </c:pt>
                <c:pt idx="25">
                  <c:v>Sem 40</c:v>
                </c:pt>
                <c:pt idx="26">
                  <c:v>Sem 41</c:v>
                </c:pt>
                <c:pt idx="27">
                  <c:v>Sem 42</c:v>
                </c:pt>
                <c:pt idx="28">
                  <c:v>Sem 43</c:v>
                </c:pt>
                <c:pt idx="29">
                  <c:v>Sem 44</c:v>
                </c:pt>
                <c:pt idx="30">
                  <c:v>Sem 45</c:v>
                </c:pt>
                <c:pt idx="31">
                  <c:v>Sem 46</c:v>
                </c:pt>
                <c:pt idx="32">
                  <c:v>Sem 47</c:v>
                </c:pt>
                <c:pt idx="33">
                  <c:v>Sem 48</c:v>
                </c:pt>
                <c:pt idx="34">
                  <c:v>Sem 49</c:v>
                </c:pt>
                <c:pt idx="35">
                  <c:v>Sem 50</c:v>
                </c:pt>
                <c:pt idx="36">
                  <c:v>Sem 51</c:v>
                </c:pt>
                <c:pt idx="37">
                  <c:v>Sem 52</c:v>
                </c:pt>
                <c:pt idx="38">
                  <c:v>Sem 53</c:v>
                </c:pt>
                <c:pt idx="39">
                  <c:v>Sem 54</c:v>
                </c:pt>
                <c:pt idx="40">
                  <c:v>Sem 55</c:v>
                </c:pt>
                <c:pt idx="41">
                  <c:v>Sem 56</c:v>
                </c:pt>
                <c:pt idx="42">
                  <c:v>Sem 57</c:v>
                </c:pt>
                <c:pt idx="43">
                  <c:v>Sem 58</c:v>
                </c:pt>
                <c:pt idx="44">
                  <c:v>Sem 59</c:v>
                </c:pt>
                <c:pt idx="45">
                  <c:v>Sem 60</c:v>
                </c:pt>
                <c:pt idx="46">
                  <c:v>Sem 61</c:v>
                </c:pt>
                <c:pt idx="47">
                  <c:v>Sem 62</c:v>
                </c:pt>
                <c:pt idx="48">
                  <c:v>Sem 63</c:v>
                </c:pt>
                <c:pt idx="49">
                  <c:v>Sem 64</c:v>
                </c:pt>
                <c:pt idx="50">
                  <c:v>Sem 65</c:v>
                </c:pt>
                <c:pt idx="51">
                  <c:v>Sem 66</c:v>
                </c:pt>
                <c:pt idx="52">
                  <c:v>Sem 67</c:v>
                </c:pt>
                <c:pt idx="53">
                  <c:v>Sem 68</c:v>
                </c:pt>
                <c:pt idx="54">
                  <c:v>Sem 69</c:v>
                </c:pt>
                <c:pt idx="55">
                  <c:v>Sem 70</c:v>
                </c:pt>
                <c:pt idx="56">
                  <c:v>Sem 71</c:v>
                </c:pt>
                <c:pt idx="57">
                  <c:v>Sem 72</c:v>
                </c:pt>
                <c:pt idx="58">
                  <c:v>Sem 73</c:v>
                </c:pt>
                <c:pt idx="59">
                  <c:v>Sem 74</c:v>
                </c:pt>
                <c:pt idx="60">
                  <c:v>Sem 75</c:v>
                </c:pt>
                <c:pt idx="61">
                  <c:v>Sem 76</c:v>
                </c:pt>
                <c:pt idx="62">
                  <c:v>Sem 77</c:v>
                </c:pt>
                <c:pt idx="63">
                  <c:v>Sem 78</c:v>
                </c:pt>
                <c:pt idx="64">
                  <c:v>Sem 79</c:v>
                </c:pt>
                <c:pt idx="65">
                  <c:v>Sem 80</c:v>
                </c:pt>
                <c:pt idx="66">
                  <c:v>Sem 81</c:v>
                </c:pt>
                <c:pt idx="67">
                  <c:v>Sem 82</c:v>
                </c:pt>
                <c:pt idx="68">
                  <c:v>Sem 83</c:v>
                </c:pt>
                <c:pt idx="69">
                  <c:v>Sem 84</c:v>
                </c:pt>
                <c:pt idx="70">
                  <c:v>Sem 85</c:v>
                </c:pt>
                <c:pt idx="71">
                  <c:v>Sem 86</c:v>
                </c:pt>
                <c:pt idx="72">
                  <c:v>Sem 87</c:v>
                </c:pt>
                <c:pt idx="73">
                  <c:v>Sem 88</c:v>
                </c:pt>
                <c:pt idx="74">
                  <c:v>Sem 89</c:v>
                </c:pt>
                <c:pt idx="75">
                  <c:v>Sem 90</c:v>
                </c:pt>
                <c:pt idx="76">
                  <c:v>Sem 91</c:v>
                </c:pt>
                <c:pt idx="77">
                  <c:v>Sem 92</c:v>
                </c:pt>
                <c:pt idx="78">
                  <c:v>Sem 93</c:v>
                </c:pt>
                <c:pt idx="79">
                  <c:v>Sem 94</c:v>
                </c:pt>
                <c:pt idx="80">
                  <c:v>Sem 95</c:v>
                </c:pt>
                <c:pt idx="81">
                  <c:v>Sem 96</c:v>
                </c:pt>
                <c:pt idx="82">
                  <c:v>Sem 97</c:v>
                </c:pt>
                <c:pt idx="83">
                  <c:v>Sem 98</c:v>
                </c:pt>
                <c:pt idx="84">
                  <c:v>Sem 99</c:v>
                </c:pt>
                <c:pt idx="85">
                  <c:v>Sem 100</c:v>
                </c:pt>
              </c:strCache>
            </c:strRef>
          </c:cat>
          <c:val>
            <c:numRef>
              <c:f>' OVOS'!$H$2:$CO$2</c:f>
              <c:numCache>
                <c:formatCode>General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40.799999999999997</c:v>
                </c:pt>
                <c:pt idx="5">
                  <c:v>43.7</c:v>
                </c:pt>
                <c:pt idx="6">
                  <c:v>46.3</c:v>
                </c:pt>
                <c:pt idx="7">
                  <c:v>48.7</c:v>
                </c:pt>
                <c:pt idx="8">
                  <c:v>50.8</c:v>
                </c:pt>
                <c:pt idx="9">
                  <c:v>52.6</c:v>
                </c:pt>
                <c:pt idx="10">
                  <c:v>54.2</c:v>
                </c:pt>
                <c:pt idx="11">
                  <c:v>55.4</c:v>
                </c:pt>
                <c:pt idx="12">
                  <c:v>56.4</c:v>
                </c:pt>
                <c:pt idx="13">
                  <c:v>57.1</c:v>
                </c:pt>
                <c:pt idx="14">
                  <c:v>57.7</c:v>
                </c:pt>
                <c:pt idx="15">
                  <c:v>58.2</c:v>
                </c:pt>
                <c:pt idx="16">
                  <c:v>58.7</c:v>
                </c:pt>
                <c:pt idx="17">
                  <c:v>59.1</c:v>
                </c:pt>
                <c:pt idx="18">
                  <c:v>59.5</c:v>
                </c:pt>
                <c:pt idx="19">
                  <c:v>59.8</c:v>
                </c:pt>
                <c:pt idx="20">
                  <c:v>60</c:v>
                </c:pt>
                <c:pt idx="21">
                  <c:v>60.3</c:v>
                </c:pt>
                <c:pt idx="22">
                  <c:v>60.4</c:v>
                </c:pt>
                <c:pt idx="23">
                  <c:v>60.6</c:v>
                </c:pt>
                <c:pt idx="24">
                  <c:v>60.8</c:v>
                </c:pt>
                <c:pt idx="25">
                  <c:v>60.9</c:v>
                </c:pt>
                <c:pt idx="26">
                  <c:v>61.1</c:v>
                </c:pt>
                <c:pt idx="27">
                  <c:v>61.2</c:v>
                </c:pt>
                <c:pt idx="28">
                  <c:v>61.4</c:v>
                </c:pt>
                <c:pt idx="29">
                  <c:v>61.5</c:v>
                </c:pt>
                <c:pt idx="30">
                  <c:v>61.6</c:v>
                </c:pt>
                <c:pt idx="31">
                  <c:v>61.8</c:v>
                </c:pt>
                <c:pt idx="32">
                  <c:v>61.9</c:v>
                </c:pt>
                <c:pt idx="33">
                  <c:v>62</c:v>
                </c:pt>
                <c:pt idx="34">
                  <c:v>62.1</c:v>
                </c:pt>
                <c:pt idx="35">
                  <c:v>62.3</c:v>
                </c:pt>
                <c:pt idx="36">
                  <c:v>62.4</c:v>
                </c:pt>
                <c:pt idx="37">
                  <c:v>62.5</c:v>
                </c:pt>
                <c:pt idx="38">
                  <c:v>62.6</c:v>
                </c:pt>
                <c:pt idx="39">
                  <c:v>62.7</c:v>
                </c:pt>
                <c:pt idx="40">
                  <c:v>62.8</c:v>
                </c:pt>
                <c:pt idx="41">
                  <c:v>62.9</c:v>
                </c:pt>
                <c:pt idx="42">
                  <c:v>63</c:v>
                </c:pt>
                <c:pt idx="43">
                  <c:v>63.1</c:v>
                </c:pt>
                <c:pt idx="44">
                  <c:v>63.1</c:v>
                </c:pt>
                <c:pt idx="45">
                  <c:v>63.2</c:v>
                </c:pt>
                <c:pt idx="46">
                  <c:v>63.3</c:v>
                </c:pt>
                <c:pt idx="47">
                  <c:v>63.4</c:v>
                </c:pt>
                <c:pt idx="48">
                  <c:v>63.4</c:v>
                </c:pt>
                <c:pt idx="49">
                  <c:v>63.5</c:v>
                </c:pt>
                <c:pt idx="50">
                  <c:v>63.6</c:v>
                </c:pt>
                <c:pt idx="51">
                  <c:v>63.6</c:v>
                </c:pt>
                <c:pt idx="52">
                  <c:v>63.7</c:v>
                </c:pt>
                <c:pt idx="53">
                  <c:v>63.7</c:v>
                </c:pt>
                <c:pt idx="54">
                  <c:v>63.8</c:v>
                </c:pt>
                <c:pt idx="55">
                  <c:v>63.8</c:v>
                </c:pt>
                <c:pt idx="56">
                  <c:v>63.9</c:v>
                </c:pt>
                <c:pt idx="57">
                  <c:v>63.9</c:v>
                </c:pt>
                <c:pt idx="58">
                  <c:v>63.9</c:v>
                </c:pt>
                <c:pt idx="59">
                  <c:v>64</c:v>
                </c:pt>
                <c:pt idx="60">
                  <c:v>64</c:v>
                </c:pt>
                <c:pt idx="61">
                  <c:v>64</c:v>
                </c:pt>
                <c:pt idx="62">
                  <c:v>64.099999999999994</c:v>
                </c:pt>
                <c:pt idx="63">
                  <c:v>64.099999999999994</c:v>
                </c:pt>
                <c:pt idx="64">
                  <c:v>64.099999999999994</c:v>
                </c:pt>
                <c:pt idx="65">
                  <c:v>64.099999999999994</c:v>
                </c:pt>
                <c:pt idx="66">
                  <c:v>64.099999999999994</c:v>
                </c:pt>
                <c:pt idx="67">
                  <c:v>64.2</c:v>
                </c:pt>
                <c:pt idx="68">
                  <c:v>64.2</c:v>
                </c:pt>
                <c:pt idx="69">
                  <c:v>64.2</c:v>
                </c:pt>
                <c:pt idx="70">
                  <c:v>64.2</c:v>
                </c:pt>
                <c:pt idx="71">
                  <c:v>64.2</c:v>
                </c:pt>
                <c:pt idx="72">
                  <c:v>64.2</c:v>
                </c:pt>
                <c:pt idx="73">
                  <c:v>64.2</c:v>
                </c:pt>
                <c:pt idx="74">
                  <c:v>64.2</c:v>
                </c:pt>
                <c:pt idx="75">
                  <c:v>64.2</c:v>
                </c:pt>
                <c:pt idx="76">
                  <c:v>64.2</c:v>
                </c:pt>
                <c:pt idx="77">
                  <c:v>64.2</c:v>
                </c:pt>
                <c:pt idx="78">
                  <c:v>64.2</c:v>
                </c:pt>
                <c:pt idx="79">
                  <c:v>64.2</c:v>
                </c:pt>
                <c:pt idx="80">
                  <c:v>64.2</c:v>
                </c:pt>
                <c:pt idx="81">
                  <c:v>64.2</c:v>
                </c:pt>
                <c:pt idx="82">
                  <c:v>64.2</c:v>
                </c:pt>
                <c:pt idx="83">
                  <c:v>64.2</c:v>
                </c:pt>
                <c:pt idx="84">
                  <c:v>64.2</c:v>
                </c:pt>
                <c:pt idx="85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0-4F6D-83CD-FA4D00D563AA}"/>
            </c:ext>
          </c:extLst>
        </c:ser>
        <c:ser>
          <c:idx val="1"/>
          <c:order val="1"/>
          <c:tx>
            <c:strRef>
              <c:f>' OVOS'!$G$3</c:f>
              <c:strCache>
                <c:ptCount val="1"/>
                <c:pt idx="0">
                  <c:v>Peso Real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 OVOS'!$H$1:$CO$1</c:f>
              <c:strCache>
                <c:ptCount val="86"/>
                <c:pt idx="0">
                  <c:v>Sem 15</c:v>
                </c:pt>
                <c:pt idx="1">
                  <c:v>Sem 16</c:v>
                </c:pt>
                <c:pt idx="2">
                  <c:v>Sem 17</c:v>
                </c:pt>
                <c:pt idx="3">
                  <c:v>Sem 18</c:v>
                </c:pt>
                <c:pt idx="4">
                  <c:v>Sem 19</c:v>
                </c:pt>
                <c:pt idx="5">
                  <c:v>Sem 20</c:v>
                </c:pt>
                <c:pt idx="6">
                  <c:v>Sem 21</c:v>
                </c:pt>
                <c:pt idx="7">
                  <c:v>Sem 22</c:v>
                </c:pt>
                <c:pt idx="8">
                  <c:v>Sem 23</c:v>
                </c:pt>
                <c:pt idx="9">
                  <c:v>Sem 24</c:v>
                </c:pt>
                <c:pt idx="10">
                  <c:v>Sem 25</c:v>
                </c:pt>
                <c:pt idx="11">
                  <c:v>Sem 26</c:v>
                </c:pt>
                <c:pt idx="12">
                  <c:v>Sem 27</c:v>
                </c:pt>
                <c:pt idx="13">
                  <c:v>Sem 28</c:v>
                </c:pt>
                <c:pt idx="14">
                  <c:v>Sem 29</c:v>
                </c:pt>
                <c:pt idx="15">
                  <c:v>Sem 30</c:v>
                </c:pt>
                <c:pt idx="16">
                  <c:v>Sem 31</c:v>
                </c:pt>
                <c:pt idx="17">
                  <c:v>Sem 32</c:v>
                </c:pt>
                <c:pt idx="18">
                  <c:v>Sem 33</c:v>
                </c:pt>
                <c:pt idx="19">
                  <c:v>Sem 34</c:v>
                </c:pt>
                <c:pt idx="20">
                  <c:v>Sem 35</c:v>
                </c:pt>
                <c:pt idx="21">
                  <c:v>Sem 36</c:v>
                </c:pt>
                <c:pt idx="22">
                  <c:v>Sem 37</c:v>
                </c:pt>
                <c:pt idx="23">
                  <c:v>Sem 38</c:v>
                </c:pt>
                <c:pt idx="24">
                  <c:v>Sem 39</c:v>
                </c:pt>
                <c:pt idx="25">
                  <c:v>Sem 40</c:v>
                </c:pt>
                <c:pt idx="26">
                  <c:v>Sem 41</c:v>
                </c:pt>
                <c:pt idx="27">
                  <c:v>Sem 42</c:v>
                </c:pt>
                <c:pt idx="28">
                  <c:v>Sem 43</c:v>
                </c:pt>
                <c:pt idx="29">
                  <c:v>Sem 44</c:v>
                </c:pt>
                <c:pt idx="30">
                  <c:v>Sem 45</c:v>
                </c:pt>
                <c:pt idx="31">
                  <c:v>Sem 46</c:v>
                </c:pt>
                <c:pt idx="32">
                  <c:v>Sem 47</c:v>
                </c:pt>
                <c:pt idx="33">
                  <c:v>Sem 48</c:v>
                </c:pt>
                <c:pt idx="34">
                  <c:v>Sem 49</c:v>
                </c:pt>
                <c:pt idx="35">
                  <c:v>Sem 50</c:v>
                </c:pt>
                <c:pt idx="36">
                  <c:v>Sem 51</c:v>
                </c:pt>
                <c:pt idx="37">
                  <c:v>Sem 52</c:v>
                </c:pt>
                <c:pt idx="38">
                  <c:v>Sem 53</c:v>
                </c:pt>
                <c:pt idx="39">
                  <c:v>Sem 54</c:v>
                </c:pt>
                <c:pt idx="40">
                  <c:v>Sem 55</c:v>
                </c:pt>
                <c:pt idx="41">
                  <c:v>Sem 56</c:v>
                </c:pt>
                <c:pt idx="42">
                  <c:v>Sem 57</c:v>
                </c:pt>
                <c:pt idx="43">
                  <c:v>Sem 58</c:v>
                </c:pt>
                <c:pt idx="44">
                  <c:v>Sem 59</c:v>
                </c:pt>
                <c:pt idx="45">
                  <c:v>Sem 60</c:v>
                </c:pt>
                <c:pt idx="46">
                  <c:v>Sem 61</c:v>
                </c:pt>
                <c:pt idx="47">
                  <c:v>Sem 62</c:v>
                </c:pt>
                <c:pt idx="48">
                  <c:v>Sem 63</c:v>
                </c:pt>
                <c:pt idx="49">
                  <c:v>Sem 64</c:v>
                </c:pt>
                <c:pt idx="50">
                  <c:v>Sem 65</c:v>
                </c:pt>
                <c:pt idx="51">
                  <c:v>Sem 66</c:v>
                </c:pt>
                <c:pt idx="52">
                  <c:v>Sem 67</c:v>
                </c:pt>
                <c:pt idx="53">
                  <c:v>Sem 68</c:v>
                </c:pt>
                <c:pt idx="54">
                  <c:v>Sem 69</c:v>
                </c:pt>
                <c:pt idx="55">
                  <c:v>Sem 70</c:v>
                </c:pt>
                <c:pt idx="56">
                  <c:v>Sem 71</c:v>
                </c:pt>
                <c:pt idx="57">
                  <c:v>Sem 72</c:v>
                </c:pt>
                <c:pt idx="58">
                  <c:v>Sem 73</c:v>
                </c:pt>
                <c:pt idx="59">
                  <c:v>Sem 74</c:v>
                </c:pt>
                <c:pt idx="60">
                  <c:v>Sem 75</c:v>
                </c:pt>
                <c:pt idx="61">
                  <c:v>Sem 76</c:v>
                </c:pt>
                <c:pt idx="62">
                  <c:v>Sem 77</c:v>
                </c:pt>
                <c:pt idx="63">
                  <c:v>Sem 78</c:v>
                </c:pt>
                <c:pt idx="64">
                  <c:v>Sem 79</c:v>
                </c:pt>
                <c:pt idx="65">
                  <c:v>Sem 80</c:v>
                </c:pt>
                <c:pt idx="66">
                  <c:v>Sem 81</c:v>
                </c:pt>
                <c:pt idx="67">
                  <c:v>Sem 82</c:v>
                </c:pt>
                <c:pt idx="68">
                  <c:v>Sem 83</c:v>
                </c:pt>
                <c:pt idx="69">
                  <c:v>Sem 84</c:v>
                </c:pt>
                <c:pt idx="70">
                  <c:v>Sem 85</c:v>
                </c:pt>
                <c:pt idx="71">
                  <c:v>Sem 86</c:v>
                </c:pt>
                <c:pt idx="72">
                  <c:v>Sem 87</c:v>
                </c:pt>
                <c:pt idx="73">
                  <c:v>Sem 88</c:v>
                </c:pt>
                <c:pt idx="74">
                  <c:v>Sem 89</c:v>
                </c:pt>
                <c:pt idx="75">
                  <c:v>Sem 90</c:v>
                </c:pt>
                <c:pt idx="76">
                  <c:v>Sem 91</c:v>
                </c:pt>
                <c:pt idx="77">
                  <c:v>Sem 92</c:v>
                </c:pt>
                <c:pt idx="78">
                  <c:v>Sem 93</c:v>
                </c:pt>
                <c:pt idx="79">
                  <c:v>Sem 94</c:v>
                </c:pt>
                <c:pt idx="80">
                  <c:v>Sem 95</c:v>
                </c:pt>
                <c:pt idx="81">
                  <c:v>Sem 96</c:v>
                </c:pt>
                <c:pt idx="82">
                  <c:v>Sem 97</c:v>
                </c:pt>
                <c:pt idx="83">
                  <c:v>Sem 98</c:v>
                </c:pt>
                <c:pt idx="84">
                  <c:v>Sem 99</c:v>
                </c:pt>
                <c:pt idx="85">
                  <c:v>Sem 100</c:v>
                </c:pt>
              </c:strCache>
            </c:strRef>
          </c:cat>
          <c:val>
            <c:numRef>
              <c:f>' OVOS'!$H$3:$CO$3</c:f>
              <c:numCache>
                <c:formatCode>0.00\ "g"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0-4F6D-83CD-FA4D00D56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386608"/>
        <c:axId val="1044426928"/>
      </c:lineChart>
      <c:catAx>
        <c:axId val="104438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4426928"/>
        <c:crosses val="autoZero"/>
        <c:auto val="1"/>
        <c:lblAlgn val="ctr"/>
        <c:lblOffset val="100"/>
        <c:noMultiLvlLbl val="0"/>
      </c:catAx>
      <c:valAx>
        <c:axId val="1044426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4438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Semanais'!$X$9:$X$18</c:f>
              <c:strCache>
                <c:ptCount val="10"/>
                <c:pt idx="0">
                  <c:v>0–0</c:v>
                </c:pt>
                <c:pt idx="1">
                  <c:v>0–0</c:v>
                </c:pt>
                <c:pt idx="2">
                  <c:v>0–0</c:v>
                </c:pt>
                <c:pt idx="3">
                  <c:v>0–0</c:v>
                </c:pt>
                <c:pt idx="4">
                  <c:v>0–0</c:v>
                </c:pt>
                <c:pt idx="5">
                  <c:v>0–0</c:v>
                </c:pt>
                <c:pt idx="6">
                  <c:v>0–0</c:v>
                </c:pt>
                <c:pt idx="7">
                  <c:v>0–0</c:v>
                </c:pt>
                <c:pt idx="8">
                  <c:v>0–0</c:v>
                </c:pt>
                <c:pt idx="9">
                  <c:v>0–0</c:v>
                </c:pt>
              </c:strCache>
            </c:strRef>
          </c:cat>
          <c:val>
            <c:numRef>
              <c:f>'Gráficos Semanais'!$Y$9:$Y$18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A-4642-8701-4C7F5CD35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60090048"/>
        <c:axId val="1160090768"/>
      </c:barChart>
      <c:scatterChart>
        <c:scatterStyle val="smoothMarker"/>
        <c:varyColors val="0"/>
        <c:ser>
          <c:idx val="1"/>
          <c:order val="0"/>
          <c:tx>
            <c:v>Distribuição normal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yVal>
            <c:numRef>
              <c:f>'Gráficos Semanais'!$U$11:$U$21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71-4A1B-859E-8DC2527BE2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11512328"/>
        <c:axId val="910635992"/>
      </c:scatterChart>
      <c:catAx>
        <c:axId val="1160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090768"/>
        <c:crosses val="autoZero"/>
        <c:auto val="1"/>
        <c:lblAlgn val="ctr"/>
        <c:lblOffset val="100"/>
        <c:noMultiLvlLbl val="0"/>
      </c:catAx>
      <c:valAx>
        <c:axId val="116009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090048"/>
        <c:crossesAt val="1"/>
        <c:crossBetween val="between"/>
      </c:valAx>
      <c:valAx>
        <c:axId val="91063599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512328"/>
        <c:crosses val="max"/>
        <c:crossBetween val="midCat"/>
      </c:valAx>
      <c:valAx>
        <c:axId val="911512328"/>
        <c:scaling>
          <c:orientation val="minMax"/>
        </c:scaling>
        <c:delete val="1"/>
        <c:axPos val="t"/>
        <c:majorTickMark val="out"/>
        <c:minorTickMark val="none"/>
        <c:tickLblPos val="nextTo"/>
        <c:crossAx val="91063599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Semanais'!$H$2:$H$4</c:f>
              <c:strCache>
                <c:ptCount val="3"/>
                <c:pt idx="0">
                  <c:v>&lt;10%</c:v>
                </c:pt>
                <c:pt idx="1">
                  <c:v>Unif</c:v>
                </c:pt>
                <c:pt idx="2">
                  <c:v>&gt;10%</c:v>
                </c:pt>
              </c:strCache>
            </c:strRef>
          </c:cat>
          <c:val>
            <c:numRef>
              <c:f>'Gráficos Semanais'!$J$2:$J$4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D-41EB-A4D7-A44A6ED3B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7"/>
        <c:axId val="781366080"/>
        <c:axId val="781359240"/>
      </c:barChart>
      <c:catAx>
        <c:axId val="78136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1359240"/>
        <c:crosses val="autoZero"/>
        <c:auto val="1"/>
        <c:lblAlgn val="ctr"/>
        <c:lblOffset val="100"/>
        <c:noMultiLvlLbl val="0"/>
      </c:catAx>
      <c:valAx>
        <c:axId val="781359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136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Semanais'!$N$10:$N$13</c:f>
              <c:strCache>
                <c:ptCount val="4"/>
                <c:pt idx="0">
                  <c:v>Pequeno</c:v>
                </c:pt>
                <c:pt idx="1">
                  <c:v>Grande</c:v>
                </c:pt>
                <c:pt idx="2">
                  <c:v>Extra</c:v>
                </c:pt>
                <c:pt idx="3">
                  <c:v>Jumbo</c:v>
                </c:pt>
              </c:strCache>
            </c:strRef>
          </c:cat>
          <c:val>
            <c:numRef>
              <c:f>'Gráficos Semanais'!$O$10:$O$13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2-4042-831D-125AFB00FA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65027728"/>
        <c:axId val="1165028088"/>
      </c:barChart>
      <c:catAx>
        <c:axId val="116502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5028088"/>
        <c:crosses val="autoZero"/>
        <c:auto val="1"/>
        <c:lblAlgn val="ctr"/>
        <c:lblOffset val="100"/>
        <c:noMultiLvlLbl val="0"/>
      </c:catAx>
      <c:valAx>
        <c:axId val="1165028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502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Peso</a:t>
            </a:r>
            <a:r>
              <a:rPr lang="pt-BR" baseline="0"/>
              <a:t> e uniformidade recria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AVES!$G$2</c:f>
              <c:strCache>
                <c:ptCount val="1"/>
                <c:pt idx="0">
                  <c:v>Peso Padrão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AVES!$H$1:$AD$1</c:f>
              <c:strCache>
                <c:ptCount val="23"/>
                <c:pt idx="0">
                  <c:v>Chegada Matriz A</c:v>
                </c:pt>
                <c:pt idx="1">
                  <c:v>Chegada Matriz B</c:v>
                </c:pt>
                <c:pt idx="2">
                  <c:v>Chegada Matriz C</c:v>
                </c:pt>
                <c:pt idx="3">
                  <c:v>Sem 1</c:v>
                </c:pt>
                <c:pt idx="4">
                  <c:v>Sem 2</c:v>
                </c:pt>
                <c:pt idx="5">
                  <c:v>Sem 3</c:v>
                </c:pt>
                <c:pt idx="6">
                  <c:v>Sem 4</c:v>
                </c:pt>
                <c:pt idx="7">
                  <c:v>Sem 5</c:v>
                </c:pt>
                <c:pt idx="8">
                  <c:v>Sem 6</c:v>
                </c:pt>
                <c:pt idx="9">
                  <c:v>Sem 7</c:v>
                </c:pt>
                <c:pt idx="10">
                  <c:v>Sem 8</c:v>
                </c:pt>
                <c:pt idx="11">
                  <c:v>Sem 9</c:v>
                </c:pt>
                <c:pt idx="12">
                  <c:v>Sem 10</c:v>
                </c:pt>
                <c:pt idx="13">
                  <c:v>Sem 11</c:v>
                </c:pt>
                <c:pt idx="14">
                  <c:v>Sem 12</c:v>
                </c:pt>
                <c:pt idx="15">
                  <c:v>Sem 13</c:v>
                </c:pt>
                <c:pt idx="16">
                  <c:v>Sem 14</c:v>
                </c:pt>
                <c:pt idx="17">
                  <c:v>Sem 15</c:v>
                </c:pt>
                <c:pt idx="18">
                  <c:v>Sem 16</c:v>
                </c:pt>
                <c:pt idx="19">
                  <c:v>Sem 17</c:v>
                </c:pt>
                <c:pt idx="20">
                  <c:v>Sem 18</c:v>
                </c:pt>
                <c:pt idx="21">
                  <c:v>Sem 19</c:v>
                </c:pt>
                <c:pt idx="22">
                  <c:v>Sem 20</c:v>
                </c:pt>
              </c:strCache>
            </c:strRef>
          </c:cat>
          <c:val>
            <c:numRef>
              <c:f>AVES!$H$2:$AD$2</c:f>
              <c:numCache>
                <c:formatCode>General</c:formatCode>
                <c:ptCount val="23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65</c:v>
                </c:pt>
                <c:pt idx="4">
                  <c:v>116</c:v>
                </c:pt>
                <c:pt idx="5">
                  <c:v>175</c:v>
                </c:pt>
                <c:pt idx="6">
                  <c:v>245</c:v>
                </c:pt>
                <c:pt idx="7">
                  <c:v>325</c:v>
                </c:pt>
                <c:pt idx="8">
                  <c:v>410</c:v>
                </c:pt>
                <c:pt idx="9">
                  <c:v>496</c:v>
                </c:pt>
                <c:pt idx="10">
                  <c:v>582</c:v>
                </c:pt>
                <c:pt idx="11">
                  <c:v>665</c:v>
                </c:pt>
                <c:pt idx="12">
                  <c:v>745</c:v>
                </c:pt>
                <c:pt idx="13">
                  <c:v>822</c:v>
                </c:pt>
                <c:pt idx="14">
                  <c:v>896</c:v>
                </c:pt>
                <c:pt idx="15">
                  <c:v>967</c:v>
                </c:pt>
                <c:pt idx="16">
                  <c:v>1035</c:v>
                </c:pt>
                <c:pt idx="17">
                  <c:v>1101</c:v>
                </c:pt>
                <c:pt idx="18">
                  <c:v>1168</c:v>
                </c:pt>
                <c:pt idx="19">
                  <c:v>1235</c:v>
                </c:pt>
                <c:pt idx="20">
                  <c:v>1300</c:v>
                </c:pt>
                <c:pt idx="21">
                  <c:v>1358</c:v>
                </c:pt>
                <c:pt idx="22">
                  <c:v>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5-43C5-8B46-9EC846D445F8}"/>
            </c:ext>
          </c:extLst>
        </c:ser>
        <c:ser>
          <c:idx val="1"/>
          <c:order val="1"/>
          <c:tx>
            <c:strRef>
              <c:f>AVES!$G$3</c:f>
              <c:strCache>
                <c:ptCount val="1"/>
                <c:pt idx="0">
                  <c:v>Peso Real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AVES!$H$1:$AD$1</c:f>
              <c:strCache>
                <c:ptCount val="23"/>
                <c:pt idx="0">
                  <c:v>Chegada Matriz A</c:v>
                </c:pt>
                <c:pt idx="1">
                  <c:v>Chegada Matriz B</c:v>
                </c:pt>
                <c:pt idx="2">
                  <c:v>Chegada Matriz C</c:v>
                </c:pt>
                <c:pt idx="3">
                  <c:v>Sem 1</c:v>
                </c:pt>
                <c:pt idx="4">
                  <c:v>Sem 2</c:v>
                </c:pt>
                <c:pt idx="5">
                  <c:v>Sem 3</c:v>
                </c:pt>
                <c:pt idx="6">
                  <c:v>Sem 4</c:v>
                </c:pt>
                <c:pt idx="7">
                  <c:v>Sem 5</c:v>
                </c:pt>
                <c:pt idx="8">
                  <c:v>Sem 6</c:v>
                </c:pt>
                <c:pt idx="9">
                  <c:v>Sem 7</c:v>
                </c:pt>
                <c:pt idx="10">
                  <c:v>Sem 8</c:v>
                </c:pt>
                <c:pt idx="11">
                  <c:v>Sem 9</c:v>
                </c:pt>
                <c:pt idx="12">
                  <c:v>Sem 10</c:v>
                </c:pt>
                <c:pt idx="13">
                  <c:v>Sem 11</c:v>
                </c:pt>
                <c:pt idx="14">
                  <c:v>Sem 12</c:v>
                </c:pt>
                <c:pt idx="15">
                  <c:v>Sem 13</c:v>
                </c:pt>
                <c:pt idx="16">
                  <c:v>Sem 14</c:v>
                </c:pt>
                <c:pt idx="17">
                  <c:v>Sem 15</c:v>
                </c:pt>
                <c:pt idx="18">
                  <c:v>Sem 16</c:v>
                </c:pt>
                <c:pt idx="19">
                  <c:v>Sem 17</c:v>
                </c:pt>
                <c:pt idx="20">
                  <c:v>Sem 18</c:v>
                </c:pt>
                <c:pt idx="21">
                  <c:v>Sem 19</c:v>
                </c:pt>
                <c:pt idx="22">
                  <c:v>Sem 20</c:v>
                </c:pt>
              </c:strCache>
            </c:strRef>
          </c:cat>
          <c:val>
            <c:numRef>
              <c:f>AVES!$H$3:$AD$3</c:f>
              <c:numCache>
                <c:formatCode>0\ "g"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5-43C5-8B46-9EC846D44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7983816"/>
        <c:axId val="1347981296"/>
      </c:barChart>
      <c:lineChart>
        <c:grouping val="standard"/>
        <c:varyColors val="0"/>
        <c:ser>
          <c:idx val="2"/>
          <c:order val="2"/>
          <c:tx>
            <c:strRef>
              <c:f>AVES!$G$4</c:f>
              <c:strCache>
                <c:ptCount val="1"/>
                <c:pt idx="0">
                  <c:v>Unif. Padrão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AVES!$H$1:$AD$1</c:f>
              <c:strCache>
                <c:ptCount val="23"/>
                <c:pt idx="0">
                  <c:v>Chegada Matriz A</c:v>
                </c:pt>
                <c:pt idx="1">
                  <c:v>Chegada Matriz B</c:v>
                </c:pt>
                <c:pt idx="2">
                  <c:v>Chegada Matriz C</c:v>
                </c:pt>
                <c:pt idx="3">
                  <c:v>Sem 1</c:v>
                </c:pt>
                <c:pt idx="4">
                  <c:v>Sem 2</c:v>
                </c:pt>
                <c:pt idx="5">
                  <c:v>Sem 3</c:v>
                </c:pt>
                <c:pt idx="6">
                  <c:v>Sem 4</c:v>
                </c:pt>
                <c:pt idx="7">
                  <c:v>Sem 5</c:v>
                </c:pt>
                <c:pt idx="8">
                  <c:v>Sem 6</c:v>
                </c:pt>
                <c:pt idx="9">
                  <c:v>Sem 7</c:v>
                </c:pt>
                <c:pt idx="10">
                  <c:v>Sem 8</c:v>
                </c:pt>
                <c:pt idx="11">
                  <c:v>Sem 9</c:v>
                </c:pt>
                <c:pt idx="12">
                  <c:v>Sem 10</c:v>
                </c:pt>
                <c:pt idx="13">
                  <c:v>Sem 11</c:v>
                </c:pt>
                <c:pt idx="14">
                  <c:v>Sem 12</c:v>
                </c:pt>
                <c:pt idx="15">
                  <c:v>Sem 13</c:v>
                </c:pt>
                <c:pt idx="16">
                  <c:v>Sem 14</c:v>
                </c:pt>
                <c:pt idx="17">
                  <c:v>Sem 15</c:v>
                </c:pt>
                <c:pt idx="18">
                  <c:v>Sem 16</c:v>
                </c:pt>
                <c:pt idx="19">
                  <c:v>Sem 17</c:v>
                </c:pt>
                <c:pt idx="20">
                  <c:v>Sem 18</c:v>
                </c:pt>
                <c:pt idx="21">
                  <c:v>Sem 19</c:v>
                </c:pt>
                <c:pt idx="22">
                  <c:v>Sem 20</c:v>
                </c:pt>
              </c:strCache>
            </c:strRef>
          </c:cat>
          <c:val>
            <c:numRef>
              <c:f>AVES!$H$4:$AD$4</c:f>
              <c:numCache>
                <c:formatCode>0.00%</c:formatCode>
                <c:ptCount val="23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5-43C5-8B46-9EC846D445F8}"/>
            </c:ext>
          </c:extLst>
        </c:ser>
        <c:ser>
          <c:idx val="3"/>
          <c:order val="3"/>
          <c:tx>
            <c:strRef>
              <c:f>AVES!$G$5</c:f>
              <c:strCache>
                <c:ptCount val="1"/>
                <c:pt idx="0">
                  <c:v>Unif. Real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AVES!$H$1:$AD$1</c:f>
              <c:strCache>
                <c:ptCount val="23"/>
                <c:pt idx="0">
                  <c:v>Chegada Matriz A</c:v>
                </c:pt>
                <c:pt idx="1">
                  <c:v>Chegada Matriz B</c:v>
                </c:pt>
                <c:pt idx="2">
                  <c:v>Chegada Matriz C</c:v>
                </c:pt>
                <c:pt idx="3">
                  <c:v>Sem 1</c:v>
                </c:pt>
                <c:pt idx="4">
                  <c:v>Sem 2</c:v>
                </c:pt>
                <c:pt idx="5">
                  <c:v>Sem 3</c:v>
                </c:pt>
                <c:pt idx="6">
                  <c:v>Sem 4</c:v>
                </c:pt>
                <c:pt idx="7">
                  <c:v>Sem 5</c:v>
                </c:pt>
                <c:pt idx="8">
                  <c:v>Sem 6</c:v>
                </c:pt>
                <c:pt idx="9">
                  <c:v>Sem 7</c:v>
                </c:pt>
                <c:pt idx="10">
                  <c:v>Sem 8</c:v>
                </c:pt>
                <c:pt idx="11">
                  <c:v>Sem 9</c:v>
                </c:pt>
                <c:pt idx="12">
                  <c:v>Sem 10</c:v>
                </c:pt>
                <c:pt idx="13">
                  <c:v>Sem 11</c:v>
                </c:pt>
                <c:pt idx="14">
                  <c:v>Sem 12</c:v>
                </c:pt>
                <c:pt idx="15">
                  <c:v>Sem 13</c:v>
                </c:pt>
                <c:pt idx="16">
                  <c:v>Sem 14</c:v>
                </c:pt>
                <c:pt idx="17">
                  <c:v>Sem 15</c:v>
                </c:pt>
                <c:pt idx="18">
                  <c:v>Sem 16</c:v>
                </c:pt>
                <c:pt idx="19">
                  <c:v>Sem 17</c:v>
                </c:pt>
                <c:pt idx="20">
                  <c:v>Sem 18</c:v>
                </c:pt>
                <c:pt idx="21">
                  <c:v>Sem 19</c:v>
                </c:pt>
                <c:pt idx="22">
                  <c:v>Sem 20</c:v>
                </c:pt>
              </c:strCache>
            </c:strRef>
          </c:cat>
          <c:val>
            <c:numRef>
              <c:f>AVES!$H$5:$AD$5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5-43C5-8B46-9EC846D44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7981656"/>
        <c:axId val="1347987416"/>
      </c:lineChart>
      <c:catAx>
        <c:axId val="1347983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7981296"/>
        <c:crosses val="autoZero"/>
        <c:auto val="1"/>
        <c:lblAlgn val="ctr"/>
        <c:lblOffset val="100"/>
        <c:noMultiLvlLbl val="0"/>
      </c:catAx>
      <c:valAx>
        <c:axId val="134798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7983816"/>
        <c:crosses val="autoZero"/>
        <c:crossBetween val="between"/>
      </c:valAx>
      <c:valAx>
        <c:axId val="1347987416"/>
        <c:scaling>
          <c:orientation val="minMax"/>
          <c:max val="1"/>
        </c:scaling>
        <c:delete val="0"/>
        <c:axPos val="r"/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7981656"/>
        <c:crosses val="max"/>
        <c:crossBetween val="between"/>
      </c:valAx>
      <c:catAx>
        <c:axId val="1347981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7987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Peso do ovo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OVOS'!$G$2</c:f>
              <c:strCache>
                <c:ptCount val="1"/>
                <c:pt idx="0">
                  <c:v>Peso Padrão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OVOS'!$H$1:$CO$1</c:f>
              <c:strCache>
                <c:ptCount val="86"/>
                <c:pt idx="0">
                  <c:v>Sem 15</c:v>
                </c:pt>
                <c:pt idx="1">
                  <c:v>Sem 16</c:v>
                </c:pt>
                <c:pt idx="2">
                  <c:v>Sem 17</c:v>
                </c:pt>
                <c:pt idx="3">
                  <c:v>Sem 18</c:v>
                </c:pt>
                <c:pt idx="4">
                  <c:v>Sem 19</c:v>
                </c:pt>
                <c:pt idx="5">
                  <c:v>Sem 20</c:v>
                </c:pt>
                <c:pt idx="6">
                  <c:v>Sem 21</c:v>
                </c:pt>
                <c:pt idx="7">
                  <c:v>Sem 22</c:v>
                </c:pt>
                <c:pt idx="8">
                  <c:v>Sem 23</c:v>
                </c:pt>
                <c:pt idx="9">
                  <c:v>Sem 24</c:v>
                </c:pt>
                <c:pt idx="10">
                  <c:v>Sem 25</c:v>
                </c:pt>
                <c:pt idx="11">
                  <c:v>Sem 26</c:v>
                </c:pt>
                <c:pt idx="12">
                  <c:v>Sem 27</c:v>
                </c:pt>
                <c:pt idx="13">
                  <c:v>Sem 28</c:v>
                </c:pt>
                <c:pt idx="14">
                  <c:v>Sem 29</c:v>
                </c:pt>
                <c:pt idx="15">
                  <c:v>Sem 30</c:v>
                </c:pt>
                <c:pt idx="16">
                  <c:v>Sem 31</c:v>
                </c:pt>
                <c:pt idx="17">
                  <c:v>Sem 32</c:v>
                </c:pt>
                <c:pt idx="18">
                  <c:v>Sem 33</c:v>
                </c:pt>
                <c:pt idx="19">
                  <c:v>Sem 34</c:v>
                </c:pt>
                <c:pt idx="20">
                  <c:v>Sem 35</c:v>
                </c:pt>
                <c:pt idx="21">
                  <c:v>Sem 36</c:v>
                </c:pt>
                <c:pt idx="22">
                  <c:v>Sem 37</c:v>
                </c:pt>
                <c:pt idx="23">
                  <c:v>Sem 38</c:v>
                </c:pt>
                <c:pt idx="24">
                  <c:v>Sem 39</c:v>
                </c:pt>
                <c:pt idx="25">
                  <c:v>Sem 40</c:v>
                </c:pt>
                <c:pt idx="26">
                  <c:v>Sem 41</c:v>
                </c:pt>
                <c:pt idx="27">
                  <c:v>Sem 42</c:v>
                </c:pt>
                <c:pt idx="28">
                  <c:v>Sem 43</c:v>
                </c:pt>
                <c:pt idx="29">
                  <c:v>Sem 44</c:v>
                </c:pt>
                <c:pt idx="30">
                  <c:v>Sem 45</c:v>
                </c:pt>
                <c:pt idx="31">
                  <c:v>Sem 46</c:v>
                </c:pt>
                <c:pt idx="32">
                  <c:v>Sem 47</c:v>
                </c:pt>
                <c:pt idx="33">
                  <c:v>Sem 48</c:v>
                </c:pt>
                <c:pt idx="34">
                  <c:v>Sem 49</c:v>
                </c:pt>
                <c:pt idx="35">
                  <c:v>Sem 50</c:v>
                </c:pt>
                <c:pt idx="36">
                  <c:v>Sem 51</c:v>
                </c:pt>
                <c:pt idx="37">
                  <c:v>Sem 52</c:v>
                </c:pt>
                <c:pt idx="38">
                  <c:v>Sem 53</c:v>
                </c:pt>
                <c:pt idx="39">
                  <c:v>Sem 54</c:v>
                </c:pt>
                <c:pt idx="40">
                  <c:v>Sem 55</c:v>
                </c:pt>
                <c:pt idx="41">
                  <c:v>Sem 56</c:v>
                </c:pt>
                <c:pt idx="42">
                  <c:v>Sem 57</c:v>
                </c:pt>
                <c:pt idx="43">
                  <c:v>Sem 58</c:v>
                </c:pt>
                <c:pt idx="44">
                  <c:v>Sem 59</c:v>
                </c:pt>
                <c:pt idx="45">
                  <c:v>Sem 60</c:v>
                </c:pt>
                <c:pt idx="46">
                  <c:v>Sem 61</c:v>
                </c:pt>
                <c:pt idx="47">
                  <c:v>Sem 62</c:v>
                </c:pt>
                <c:pt idx="48">
                  <c:v>Sem 63</c:v>
                </c:pt>
                <c:pt idx="49">
                  <c:v>Sem 64</c:v>
                </c:pt>
                <c:pt idx="50">
                  <c:v>Sem 65</c:v>
                </c:pt>
                <c:pt idx="51">
                  <c:v>Sem 66</c:v>
                </c:pt>
                <c:pt idx="52">
                  <c:v>Sem 67</c:v>
                </c:pt>
                <c:pt idx="53">
                  <c:v>Sem 68</c:v>
                </c:pt>
                <c:pt idx="54">
                  <c:v>Sem 69</c:v>
                </c:pt>
                <c:pt idx="55">
                  <c:v>Sem 70</c:v>
                </c:pt>
                <c:pt idx="56">
                  <c:v>Sem 71</c:v>
                </c:pt>
                <c:pt idx="57">
                  <c:v>Sem 72</c:v>
                </c:pt>
                <c:pt idx="58">
                  <c:v>Sem 73</c:v>
                </c:pt>
                <c:pt idx="59">
                  <c:v>Sem 74</c:v>
                </c:pt>
                <c:pt idx="60">
                  <c:v>Sem 75</c:v>
                </c:pt>
                <c:pt idx="61">
                  <c:v>Sem 76</c:v>
                </c:pt>
                <c:pt idx="62">
                  <c:v>Sem 77</c:v>
                </c:pt>
                <c:pt idx="63">
                  <c:v>Sem 78</c:v>
                </c:pt>
                <c:pt idx="64">
                  <c:v>Sem 79</c:v>
                </c:pt>
                <c:pt idx="65">
                  <c:v>Sem 80</c:v>
                </c:pt>
                <c:pt idx="66">
                  <c:v>Sem 81</c:v>
                </c:pt>
                <c:pt idx="67">
                  <c:v>Sem 82</c:v>
                </c:pt>
                <c:pt idx="68">
                  <c:v>Sem 83</c:v>
                </c:pt>
                <c:pt idx="69">
                  <c:v>Sem 84</c:v>
                </c:pt>
                <c:pt idx="70">
                  <c:v>Sem 85</c:v>
                </c:pt>
                <c:pt idx="71">
                  <c:v>Sem 86</c:v>
                </c:pt>
                <c:pt idx="72">
                  <c:v>Sem 87</c:v>
                </c:pt>
                <c:pt idx="73">
                  <c:v>Sem 88</c:v>
                </c:pt>
                <c:pt idx="74">
                  <c:v>Sem 89</c:v>
                </c:pt>
                <c:pt idx="75">
                  <c:v>Sem 90</c:v>
                </c:pt>
                <c:pt idx="76">
                  <c:v>Sem 91</c:v>
                </c:pt>
                <c:pt idx="77">
                  <c:v>Sem 92</c:v>
                </c:pt>
                <c:pt idx="78">
                  <c:v>Sem 93</c:v>
                </c:pt>
                <c:pt idx="79">
                  <c:v>Sem 94</c:v>
                </c:pt>
                <c:pt idx="80">
                  <c:v>Sem 95</c:v>
                </c:pt>
                <c:pt idx="81">
                  <c:v>Sem 96</c:v>
                </c:pt>
                <c:pt idx="82">
                  <c:v>Sem 97</c:v>
                </c:pt>
                <c:pt idx="83">
                  <c:v>Sem 98</c:v>
                </c:pt>
                <c:pt idx="84">
                  <c:v>Sem 99</c:v>
                </c:pt>
                <c:pt idx="85">
                  <c:v>Sem 100</c:v>
                </c:pt>
              </c:strCache>
            </c:strRef>
          </c:cat>
          <c:val>
            <c:numRef>
              <c:f>' OVOS'!$H$2:$CO$2</c:f>
              <c:numCache>
                <c:formatCode>General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40.799999999999997</c:v>
                </c:pt>
                <c:pt idx="5">
                  <c:v>43.7</c:v>
                </c:pt>
                <c:pt idx="6">
                  <c:v>46.3</c:v>
                </c:pt>
                <c:pt idx="7">
                  <c:v>48.7</c:v>
                </c:pt>
                <c:pt idx="8">
                  <c:v>50.8</c:v>
                </c:pt>
                <c:pt idx="9">
                  <c:v>52.6</c:v>
                </c:pt>
                <c:pt idx="10">
                  <c:v>54.2</c:v>
                </c:pt>
                <c:pt idx="11">
                  <c:v>55.4</c:v>
                </c:pt>
                <c:pt idx="12">
                  <c:v>56.4</c:v>
                </c:pt>
                <c:pt idx="13">
                  <c:v>57.1</c:v>
                </c:pt>
                <c:pt idx="14">
                  <c:v>57.7</c:v>
                </c:pt>
                <c:pt idx="15">
                  <c:v>58.2</c:v>
                </c:pt>
                <c:pt idx="16">
                  <c:v>58.7</c:v>
                </c:pt>
                <c:pt idx="17">
                  <c:v>59.1</c:v>
                </c:pt>
                <c:pt idx="18">
                  <c:v>59.5</c:v>
                </c:pt>
                <c:pt idx="19">
                  <c:v>59.8</c:v>
                </c:pt>
                <c:pt idx="20">
                  <c:v>60</c:v>
                </c:pt>
                <c:pt idx="21">
                  <c:v>60.3</c:v>
                </c:pt>
                <c:pt idx="22">
                  <c:v>60.4</c:v>
                </c:pt>
                <c:pt idx="23">
                  <c:v>60.6</c:v>
                </c:pt>
                <c:pt idx="24">
                  <c:v>60.8</c:v>
                </c:pt>
                <c:pt idx="25">
                  <c:v>60.9</c:v>
                </c:pt>
                <c:pt idx="26">
                  <c:v>61.1</c:v>
                </c:pt>
                <c:pt idx="27">
                  <c:v>61.2</c:v>
                </c:pt>
                <c:pt idx="28">
                  <c:v>61.4</c:v>
                </c:pt>
                <c:pt idx="29">
                  <c:v>61.5</c:v>
                </c:pt>
                <c:pt idx="30">
                  <c:v>61.6</c:v>
                </c:pt>
                <c:pt idx="31">
                  <c:v>61.8</c:v>
                </c:pt>
                <c:pt idx="32">
                  <c:v>61.9</c:v>
                </c:pt>
                <c:pt idx="33">
                  <c:v>62</c:v>
                </c:pt>
                <c:pt idx="34">
                  <c:v>62.1</c:v>
                </c:pt>
                <c:pt idx="35">
                  <c:v>62.3</c:v>
                </c:pt>
                <c:pt idx="36">
                  <c:v>62.4</c:v>
                </c:pt>
                <c:pt idx="37">
                  <c:v>62.5</c:v>
                </c:pt>
                <c:pt idx="38">
                  <c:v>62.6</c:v>
                </c:pt>
                <c:pt idx="39">
                  <c:v>62.7</c:v>
                </c:pt>
                <c:pt idx="40">
                  <c:v>62.8</c:v>
                </c:pt>
                <c:pt idx="41">
                  <c:v>62.9</c:v>
                </c:pt>
                <c:pt idx="42">
                  <c:v>63</c:v>
                </c:pt>
                <c:pt idx="43">
                  <c:v>63.1</c:v>
                </c:pt>
                <c:pt idx="44">
                  <c:v>63.1</c:v>
                </c:pt>
                <c:pt idx="45">
                  <c:v>63.2</c:v>
                </c:pt>
                <c:pt idx="46">
                  <c:v>63.3</c:v>
                </c:pt>
                <c:pt idx="47">
                  <c:v>63.4</c:v>
                </c:pt>
                <c:pt idx="48">
                  <c:v>63.4</c:v>
                </c:pt>
                <c:pt idx="49">
                  <c:v>63.5</c:v>
                </c:pt>
                <c:pt idx="50">
                  <c:v>63.6</c:v>
                </c:pt>
                <c:pt idx="51">
                  <c:v>63.6</c:v>
                </c:pt>
                <c:pt idx="52">
                  <c:v>63.7</c:v>
                </c:pt>
                <c:pt idx="53">
                  <c:v>63.7</c:v>
                </c:pt>
                <c:pt idx="54">
                  <c:v>63.8</c:v>
                </c:pt>
                <c:pt idx="55">
                  <c:v>63.8</c:v>
                </c:pt>
                <c:pt idx="56">
                  <c:v>63.9</c:v>
                </c:pt>
                <c:pt idx="57">
                  <c:v>63.9</c:v>
                </c:pt>
                <c:pt idx="58">
                  <c:v>63.9</c:v>
                </c:pt>
                <c:pt idx="59">
                  <c:v>64</c:v>
                </c:pt>
                <c:pt idx="60">
                  <c:v>64</c:v>
                </c:pt>
                <c:pt idx="61">
                  <c:v>64</c:v>
                </c:pt>
                <c:pt idx="62">
                  <c:v>64.099999999999994</c:v>
                </c:pt>
                <c:pt idx="63">
                  <c:v>64.099999999999994</c:v>
                </c:pt>
                <c:pt idx="64">
                  <c:v>64.099999999999994</c:v>
                </c:pt>
                <c:pt idx="65">
                  <c:v>64.099999999999994</c:v>
                </c:pt>
                <c:pt idx="66">
                  <c:v>64.099999999999994</c:v>
                </c:pt>
                <c:pt idx="67">
                  <c:v>64.2</c:v>
                </c:pt>
                <c:pt idx="68">
                  <c:v>64.2</c:v>
                </c:pt>
                <c:pt idx="69">
                  <c:v>64.2</c:v>
                </c:pt>
                <c:pt idx="70">
                  <c:v>64.2</c:v>
                </c:pt>
                <c:pt idx="71">
                  <c:v>64.2</c:v>
                </c:pt>
                <c:pt idx="72">
                  <c:v>64.2</c:v>
                </c:pt>
                <c:pt idx="73">
                  <c:v>64.2</c:v>
                </c:pt>
                <c:pt idx="74">
                  <c:v>64.2</c:v>
                </c:pt>
                <c:pt idx="75">
                  <c:v>64.2</c:v>
                </c:pt>
                <c:pt idx="76">
                  <c:v>64.2</c:v>
                </c:pt>
                <c:pt idx="77">
                  <c:v>64.2</c:v>
                </c:pt>
                <c:pt idx="78">
                  <c:v>64.2</c:v>
                </c:pt>
                <c:pt idx="79">
                  <c:v>64.2</c:v>
                </c:pt>
                <c:pt idx="80">
                  <c:v>64.2</c:v>
                </c:pt>
                <c:pt idx="81">
                  <c:v>64.2</c:v>
                </c:pt>
                <c:pt idx="82">
                  <c:v>64.2</c:v>
                </c:pt>
                <c:pt idx="83">
                  <c:v>64.2</c:v>
                </c:pt>
                <c:pt idx="84">
                  <c:v>64.2</c:v>
                </c:pt>
                <c:pt idx="85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0B7-99F8-A37724CF1144}"/>
            </c:ext>
          </c:extLst>
        </c:ser>
        <c:ser>
          <c:idx val="1"/>
          <c:order val="1"/>
          <c:tx>
            <c:strRef>
              <c:f>' OVOS'!$G$3</c:f>
              <c:strCache>
                <c:ptCount val="1"/>
                <c:pt idx="0">
                  <c:v>Peso Real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 OVOS'!$H$1:$CO$1</c:f>
              <c:strCache>
                <c:ptCount val="86"/>
                <c:pt idx="0">
                  <c:v>Sem 15</c:v>
                </c:pt>
                <c:pt idx="1">
                  <c:v>Sem 16</c:v>
                </c:pt>
                <c:pt idx="2">
                  <c:v>Sem 17</c:v>
                </c:pt>
                <c:pt idx="3">
                  <c:v>Sem 18</c:v>
                </c:pt>
                <c:pt idx="4">
                  <c:v>Sem 19</c:v>
                </c:pt>
                <c:pt idx="5">
                  <c:v>Sem 20</c:v>
                </c:pt>
                <c:pt idx="6">
                  <c:v>Sem 21</c:v>
                </c:pt>
                <c:pt idx="7">
                  <c:v>Sem 22</c:v>
                </c:pt>
                <c:pt idx="8">
                  <c:v>Sem 23</c:v>
                </c:pt>
                <c:pt idx="9">
                  <c:v>Sem 24</c:v>
                </c:pt>
                <c:pt idx="10">
                  <c:v>Sem 25</c:v>
                </c:pt>
                <c:pt idx="11">
                  <c:v>Sem 26</c:v>
                </c:pt>
                <c:pt idx="12">
                  <c:v>Sem 27</c:v>
                </c:pt>
                <c:pt idx="13">
                  <c:v>Sem 28</c:v>
                </c:pt>
                <c:pt idx="14">
                  <c:v>Sem 29</c:v>
                </c:pt>
                <c:pt idx="15">
                  <c:v>Sem 30</c:v>
                </c:pt>
                <c:pt idx="16">
                  <c:v>Sem 31</c:v>
                </c:pt>
                <c:pt idx="17">
                  <c:v>Sem 32</c:v>
                </c:pt>
                <c:pt idx="18">
                  <c:v>Sem 33</c:v>
                </c:pt>
                <c:pt idx="19">
                  <c:v>Sem 34</c:v>
                </c:pt>
                <c:pt idx="20">
                  <c:v>Sem 35</c:v>
                </c:pt>
                <c:pt idx="21">
                  <c:v>Sem 36</c:v>
                </c:pt>
                <c:pt idx="22">
                  <c:v>Sem 37</c:v>
                </c:pt>
                <c:pt idx="23">
                  <c:v>Sem 38</c:v>
                </c:pt>
                <c:pt idx="24">
                  <c:v>Sem 39</c:v>
                </c:pt>
                <c:pt idx="25">
                  <c:v>Sem 40</c:v>
                </c:pt>
                <c:pt idx="26">
                  <c:v>Sem 41</c:v>
                </c:pt>
                <c:pt idx="27">
                  <c:v>Sem 42</c:v>
                </c:pt>
                <c:pt idx="28">
                  <c:v>Sem 43</c:v>
                </c:pt>
                <c:pt idx="29">
                  <c:v>Sem 44</c:v>
                </c:pt>
                <c:pt idx="30">
                  <c:v>Sem 45</c:v>
                </c:pt>
                <c:pt idx="31">
                  <c:v>Sem 46</c:v>
                </c:pt>
                <c:pt idx="32">
                  <c:v>Sem 47</c:v>
                </c:pt>
                <c:pt idx="33">
                  <c:v>Sem 48</c:v>
                </c:pt>
                <c:pt idx="34">
                  <c:v>Sem 49</c:v>
                </c:pt>
                <c:pt idx="35">
                  <c:v>Sem 50</c:v>
                </c:pt>
                <c:pt idx="36">
                  <c:v>Sem 51</c:v>
                </c:pt>
                <c:pt idx="37">
                  <c:v>Sem 52</c:v>
                </c:pt>
                <c:pt idx="38">
                  <c:v>Sem 53</c:v>
                </c:pt>
                <c:pt idx="39">
                  <c:v>Sem 54</c:v>
                </c:pt>
                <c:pt idx="40">
                  <c:v>Sem 55</c:v>
                </c:pt>
                <c:pt idx="41">
                  <c:v>Sem 56</c:v>
                </c:pt>
                <c:pt idx="42">
                  <c:v>Sem 57</c:v>
                </c:pt>
                <c:pt idx="43">
                  <c:v>Sem 58</c:v>
                </c:pt>
                <c:pt idx="44">
                  <c:v>Sem 59</c:v>
                </c:pt>
                <c:pt idx="45">
                  <c:v>Sem 60</c:v>
                </c:pt>
                <c:pt idx="46">
                  <c:v>Sem 61</c:v>
                </c:pt>
                <c:pt idx="47">
                  <c:v>Sem 62</c:v>
                </c:pt>
                <c:pt idx="48">
                  <c:v>Sem 63</c:v>
                </c:pt>
                <c:pt idx="49">
                  <c:v>Sem 64</c:v>
                </c:pt>
                <c:pt idx="50">
                  <c:v>Sem 65</c:v>
                </c:pt>
                <c:pt idx="51">
                  <c:v>Sem 66</c:v>
                </c:pt>
                <c:pt idx="52">
                  <c:v>Sem 67</c:v>
                </c:pt>
                <c:pt idx="53">
                  <c:v>Sem 68</c:v>
                </c:pt>
                <c:pt idx="54">
                  <c:v>Sem 69</c:v>
                </c:pt>
                <c:pt idx="55">
                  <c:v>Sem 70</c:v>
                </c:pt>
                <c:pt idx="56">
                  <c:v>Sem 71</c:v>
                </c:pt>
                <c:pt idx="57">
                  <c:v>Sem 72</c:v>
                </c:pt>
                <c:pt idx="58">
                  <c:v>Sem 73</c:v>
                </c:pt>
                <c:pt idx="59">
                  <c:v>Sem 74</c:v>
                </c:pt>
                <c:pt idx="60">
                  <c:v>Sem 75</c:v>
                </c:pt>
                <c:pt idx="61">
                  <c:v>Sem 76</c:v>
                </c:pt>
                <c:pt idx="62">
                  <c:v>Sem 77</c:v>
                </c:pt>
                <c:pt idx="63">
                  <c:v>Sem 78</c:v>
                </c:pt>
                <c:pt idx="64">
                  <c:v>Sem 79</c:v>
                </c:pt>
                <c:pt idx="65">
                  <c:v>Sem 80</c:v>
                </c:pt>
                <c:pt idx="66">
                  <c:v>Sem 81</c:v>
                </c:pt>
                <c:pt idx="67">
                  <c:v>Sem 82</c:v>
                </c:pt>
                <c:pt idx="68">
                  <c:v>Sem 83</c:v>
                </c:pt>
                <c:pt idx="69">
                  <c:v>Sem 84</c:v>
                </c:pt>
                <c:pt idx="70">
                  <c:v>Sem 85</c:v>
                </c:pt>
                <c:pt idx="71">
                  <c:v>Sem 86</c:v>
                </c:pt>
                <c:pt idx="72">
                  <c:v>Sem 87</c:v>
                </c:pt>
                <c:pt idx="73">
                  <c:v>Sem 88</c:v>
                </c:pt>
                <c:pt idx="74">
                  <c:v>Sem 89</c:v>
                </c:pt>
                <c:pt idx="75">
                  <c:v>Sem 90</c:v>
                </c:pt>
                <c:pt idx="76">
                  <c:v>Sem 91</c:v>
                </c:pt>
                <c:pt idx="77">
                  <c:v>Sem 92</c:v>
                </c:pt>
                <c:pt idx="78">
                  <c:v>Sem 93</c:v>
                </c:pt>
                <c:pt idx="79">
                  <c:v>Sem 94</c:v>
                </c:pt>
                <c:pt idx="80">
                  <c:v>Sem 95</c:v>
                </c:pt>
                <c:pt idx="81">
                  <c:v>Sem 96</c:v>
                </c:pt>
                <c:pt idx="82">
                  <c:v>Sem 97</c:v>
                </c:pt>
                <c:pt idx="83">
                  <c:v>Sem 98</c:v>
                </c:pt>
                <c:pt idx="84">
                  <c:v>Sem 99</c:v>
                </c:pt>
                <c:pt idx="85">
                  <c:v>Sem 100</c:v>
                </c:pt>
              </c:strCache>
            </c:strRef>
          </c:cat>
          <c:val>
            <c:numRef>
              <c:f>' OVOS'!$H$3:$CO$3</c:f>
              <c:numCache>
                <c:formatCode>0.00\ "g"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0B7-99F8-A37724CF1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386608"/>
        <c:axId val="1044426928"/>
      </c:lineChart>
      <c:catAx>
        <c:axId val="1044386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4426928"/>
        <c:crosses val="autoZero"/>
        <c:auto val="1"/>
        <c:lblAlgn val="ctr"/>
        <c:lblOffset val="100"/>
        <c:noMultiLvlLbl val="0"/>
      </c:catAx>
      <c:valAx>
        <c:axId val="1044426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4438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6" Type="http://schemas.microsoft.com/office/2007/relationships/hdphoto" Target="../media/hdphoto1.wdp"/><Relationship Id="rId11" Type="http://schemas.openxmlformats.org/officeDocument/2006/relationships/chart" Target="../charts/chart5.xml"/><Relationship Id="rId5" Type="http://schemas.openxmlformats.org/officeDocument/2006/relationships/image" Target="../media/image5.png"/><Relationship Id="rId10" Type="http://schemas.openxmlformats.org/officeDocument/2006/relationships/chart" Target="../charts/chart4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5" Type="http://schemas.openxmlformats.org/officeDocument/2006/relationships/image" Target="../media/image9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8107</xdr:colOff>
      <xdr:row>8</xdr:row>
      <xdr:rowOff>48342</xdr:rowOff>
    </xdr:from>
    <xdr:to>
      <xdr:col>3</xdr:col>
      <xdr:colOff>1031576</xdr:colOff>
      <xdr:row>24</xdr:row>
      <xdr:rowOff>141565</xdr:rowOff>
    </xdr:to>
    <xdr:sp macro="" textlink="">
      <xdr:nvSpPr>
        <xdr:cNvPr id="321" name="Retângulo 320">
          <a:extLst>
            <a:ext uri="{FF2B5EF4-FFF2-40B4-BE49-F238E27FC236}">
              <a16:creationId xmlns:a16="http://schemas.microsoft.com/office/drawing/2014/main" id="{8282F4C6-E8FF-044B-0B88-9C133A5E6F7A}"/>
            </a:ext>
          </a:extLst>
        </xdr:cNvPr>
        <xdr:cNvSpPr/>
      </xdr:nvSpPr>
      <xdr:spPr>
        <a:xfrm>
          <a:off x="8107" y="2058117"/>
          <a:ext cx="3023719" cy="3207898"/>
        </a:xfrm>
        <a:prstGeom prst="rect">
          <a:avLst/>
        </a:prstGeom>
        <a:solidFill>
          <a:srgbClr val="002060">
            <a:alpha val="7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67243</xdr:colOff>
      <xdr:row>12</xdr:row>
      <xdr:rowOff>173901</xdr:rowOff>
    </xdr:from>
    <xdr:to>
      <xdr:col>2</xdr:col>
      <xdr:colOff>373811</xdr:colOff>
      <xdr:row>13</xdr:row>
      <xdr:rowOff>82796</xdr:rowOff>
    </xdr:to>
    <xdr:sp macro="" textlink="">
      <xdr:nvSpPr>
        <xdr:cNvPr id="445" name="Retângulo 444">
          <a:extLst>
            <a:ext uri="{FF2B5EF4-FFF2-40B4-BE49-F238E27FC236}">
              <a16:creationId xmlns:a16="http://schemas.microsoft.com/office/drawing/2014/main" id="{BB0DE2BC-65AD-6CE4-4012-194CC96DCCEC}"/>
            </a:ext>
          </a:extLst>
        </xdr:cNvPr>
        <xdr:cNvSpPr/>
      </xdr:nvSpPr>
      <xdr:spPr>
        <a:xfrm>
          <a:off x="1199460" y="3013429"/>
          <a:ext cx="306568" cy="9939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400" b="1" i="1"/>
            <a:t>Unif</a:t>
          </a:r>
          <a:r>
            <a:rPr lang="pt-BR" sz="400" b="1"/>
            <a:t>.</a:t>
          </a:r>
        </a:p>
      </xdr:txBody>
    </xdr:sp>
    <xdr:clientData/>
  </xdr:twoCellAnchor>
  <xdr:twoCellAnchor>
    <xdr:from>
      <xdr:col>3</xdr:col>
      <xdr:colOff>1089773</xdr:colOff>
      <xdr:row>8</xdr:row>
      <xdr:rowOff>59530</xdr:rowOff>
    </xdr:from>
    <xdr:to>
      <xdr:col>5</xdr:col>
      <xdr:colOff>351235</xdr:colOff>
      <xdr:row>24</xdr:row>
      <xdr:rowOff>142874</xdr:rowOff>
    </xdr:to>
    <xdr:sp macro="" textlink="">
      <xdr:nvSpPr>
        <xdr:cNvPr id="322" name="Retângulo 321">
          <a:extLst>
            <a:ext uri="{FF2B5EF4-FFF2-40B4-BE49-F238E27FC236}">
              <a16:creationId xmlns:a16="http://schemas.microsoft.com/office/drawing/2014/main" id="{F3805D17-F139-21BB-443A-5E5583142C19}"/>
            </a:ext>
          </a:extLst>
        </xdr:cNvPr>
        <xdr:cNvSpPr/>
      </xdr:nvSpPr>
      <xdr:spPr>
        <a:xfrm>
          <a:off x="3090023" y="2069305"/>
          <a:ext cx="1547462" cy="3198019"/>
        </a:xfrm>
        <a:prstGeom prst="rect">
          <a:avLst/>
        </a:prstGeom>
        <a:solidFill>
          <a:srgbClr val="002060">
            <a:alpha val="2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571500</xdr:colOff>
      <xdr:row>0</xdr:row>
      <xdr:rowOff>19050</xdr:rowOff>
    </xdr:from>
    <xdr:to>
      <xdr:col>5</xdr:col>
      <xdr:colOff>342900</xdr:colOff>
      <xdr:row>1</xdr:row>
      <xdr:rowOff>171449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F39F8AD8-0CA3-BE1A-FA35-82CC8608EE7D}"/>
            </a:ext>
          </a:extLst>
        </xdr:cNvPr>
        <xdr:cNvSpPr txBox="1"/>
      </xdr:nvSpPr>
      <xdr:spPr>
        <a:xfrm>
          <a:off x="723900" y="19050"/>
          <a:ext cx="3905250" cy="466724"/>
        </a:xfrm>
        <a:prstGeom prst="homePlate">
          <a:avLst/>
        </a:prstGeom>
        <a:solidFill>
          <a:srgbClr val="00206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 u="sng">
              <a:solidFill>
                <a:schemeClr val="bg1"/>
              </a:solidFill>
            </a:rPr>
            <a:t>Planilha</a:t>
          </a:r>
          <a:r>
            <a:rPr lang="pt-BR" sz="1200" b="1" u="sng" baseline="0">
              <a:solidFill>
                <a:schemeClr val="bg1"/>
              </a:solidFill>
            </a:rPr>
            <a:t> de acompanhamento de pesagem semanal</a:t>
          </a:r>
          <a:endParaRPr lang="pt-BR" sz="1200" b="1" u="sng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114910</xdr:colOff>
      <xdr:row>0</xdr:row>
      <xdr:rowOff>0</xdr:rowOff>
    </xdr:from>
    <xdr:to>
      <xdr:col>1</xdr:col>
      <xdr:colOff>560964</xdr:colOff>
      <xdr:row>2</xdr:row>
      <xdr:rowOff>38832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93EDD0-B063-FD61-F323-3F4274588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2" r="20401"/>
        <a:stretch/>
      </xdr:blipFill>
      <xdr:spPr>
        <a:xfrm>
          <a:off x="114910" y="0"/>
          <a:ext cx="600075" cy="54548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</xdr:pic>
    <xdr:clientData/>
  </xdr:twoCellAnchor>
  <xdr:twoCellAnchor editAs="oneCell">
    <xdr:from>
      <xdr:col>1</xdr:col>
      <xdr:colOff>236360</xdr:colOff>
      <xdr:row>39</xdr:row>
      <xdr:rowOff>81963</xdr:rowOff>
    </xdr:from>
    <xdr:to>
      <xdr:col>3</xdr:col>
      <xdr:colOff>352426</xdr:colOff>
      <xdr:row>46</xdr:row>
      <xdr:rowOff>95344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2C55D69-0B7C-0912-DEA2-AADAA4A52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869" r="20194"/>
        <a:stretch/>
      </xdr:blipFill>
      <xdr:spPr>
        <a:xfrm>
          <a:off x="388760" y="8063913"/>
          <a:ext cx="1963916" cy="134688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1114455</xdr:colOff>
      <xdr:row>44</xdr:row>
      <xdr:rowOff>108858</xdr:rowOff>
    </xdr:from>
    <xdr:to>
      <xdr:col>4</xdr:col>
      <xdr:colOff>869095</xdr:colOff>
      <xdr:row>46</xdr:row>
      <xdr:rowOff>107811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9033B26-B2A1-B607-D329-D0807C69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4705" y="9043308"/>
          <a:ext cx="935740" cy="379953"/>
        </a:xfrm>
        <a:prstGeom prst="rect">
          <a:avLst/>
        </a:prstGeom>
      </xdr:spPr>
    </xdr:pic>
    <xdr:clientData/>
  </xdr:twoCellAnchor>
  <xdr:twoCellAnchor editAs="oneCell">
    <xdr:from>
      <xdr:col>3</xdr:col>
      <xdr:colOff>639536</xdr:colOff>
      <xdr:row>43</xdr:row>
      <xdr:rowOff>155795</xdr:rowOff>
    </xdr:from>
    <xdr:to>
      <xdr:col>3</xdr:col>
      <xdr:colOff>1014597</xdr:colOff>
      <xdr:row>46</xdr:row>
      <xdr:rowOff>89243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3E033DB-EBAF-D038-80BA-E4063458E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620" b="97964" l="8175" r="61407">
                      <a14:foregroundMark x1="54183" y1="3846" x2="50190" y2="9050"/>
                      <a14:foregroundMark x1="10837" y1="24434" x2="13118" y2="42760"/>
                      <a14:foregroundMark x1="13118" y1="42760" x2="13688" y2="43891"/>
                      <a14:foregroundMark x1="32319" y1="82805" x2="40684" y2="95928"/>
                      <a14:foregroundMark x1="40684" y1="95928" x2="41635" y2="94796"/>
                      <a14:foregroundMark x1="33460" y1="95475" x2="32129" y2="97964"/>
                      <a14:foregroundMark x1="18061" y1="63348" x2="18061" y2="63348"/>
                      <a14:foregroundMark x1="8175" y1="27149" x2="8175" y2="271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15" r="32312"/>
        <a:stretch/>
      </xdr:blipFill>
      <xdr:spPr>
        <a:xfrm>
          <a:off x="2639786" y="8809938"/>
          <a:ext cx="375061" cy="5049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847901</xdr:colOff>
      <xdr:row>43</xdr:row>
      <xdr:rowOff>50747</xdr:rowOff>
    </xdr:from>
    <xdr:to>
      <xdr:col>5</xdr:col>
      <xdr:colOff>127612</xdr:colOff>
      <xdr:row>46</xdr:row>
      <xdr:rowOff>142653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095515D-AB12-E465-79F8-D923FCF3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>
                      <a14:foregroundMark x1="21583" y1="14346" x2="30216" y2="32911"/>
                      <a14:foregroundMark x1="16547" y1="23629" x2="20144" y2="38397"/>
                      <a14:foregroundMark x1="19424" y1="18987" x2="14388" y2="35021"/>
                      <a14:foregroundMark x1="14388" y1="35021" x2="22302" y2="42194"/>
                      <a14:foregroundMark x1="10072" y1="20253" x2="10072" y2="33333"/>
                      <a14:foregroundMark x1="9353" y1="32068" x2="17266" y2="17722"/>
                      <a14:foregroundMark x1="17266" y1="17722" x2="17266" y2="1476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45492">
          <a:off x="4029251" y="8794697"/>
          <a:ext cx="384611" cy="6634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201268</xdr:colOff>
      <xdr:row>37</xdr:row>
      <xdr:rowOff>108378</xdr:rowOff>
    </xdr:from>
    <xdr:to>
      <xdr:col>3</xdr:col>
      <xdr:colOff>424543</xdr:colOff>
      <xdr:row>38</xdr:row>
      <xdr:rowOff>180976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912FA80-F350-49A3-8828-6EB60F04FF7B}"/>
            </a:ext>
          </a:extLst>
        </xdr:cNvPr>
        <xdr:cNvSpPr txBox="1"/>
      </xdr:nvSpPr>
      <xdr:spPr>
        <a:xfrm>
          <a:off x="353668" y="7633128"/>
          <a:ext cx="2071125" cy="263098"/>
        </a:xfrm>
        <a:prstGeom prst="roundRect">
          <a:avLst/>
        </a:prstGeom>
        <a:solidFill>
          <a:srgbClr val="00206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700" b="1" u="sng">
              <a:solidFill>
                <a:schemeClr val="bg1"/>
              </a:solidFill>
            </a:rPr>
            <a:t>Gráfico do desenvovilmento</a:t>
          </a:r>
          <a:r>
            <a:rPr lang="pt-BR" sz="700" b="1" u="sng" baseline="0">
              <a:solidFill>
                <a:schemeClr val="bg1"/>
              </a:solidFill>
            </a:rPr>
            <a:t> fisiológico de aves</a:t>
          </a:r>
          <a:endParaRPr lang="pt-BR" sz="700" b="1" u="sng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1133897</xdr:colOff>
      <xdr:row>10</xdr:row>
      <xdr:rowOff>711</xdr:rowOff>
    </xdr:from>
    <xdr:to>
      <xdr:col>5</xdr:col>
      <xdr:colOff>312513</xdr:colOff>
      <xdr:row>24</xdr:row>
      <xdr:rowOff>101807</xdr:rowOff>
    </xdr:to>
    <xdr:grpSp>
      <xdr:nvGrpSpPr>
        <xdr:cNvPr id="292" name="Agrupar 291">
          <a:extLst>
            <a:ext uri="{FF2B5EF4-FFF2-40B4-BE49-F238E27FC236}">
              <a16:creationId xmlns:a16="http://schemas.microsoft.com/office/drawing/2014/main" id="{93B3CCB6-1362-BC81-5E3A-20F1CEB8613D}"/>
            </a:ext>
          </a:extLst>
        </xdr:cNvPr>
        <xdr:cNvGrpSpPr/>
      </xdr:nvGrpSpPr>
      <xdr:grpSpPr>
        <a:xfrm>
          <a:off x="3134147" y="2458161"/>
          <a:ext cx="1464616" cy="2768096"/>
          <a:chOff x="3346887" y="2567809"/>
          <a:chExt cx="1467555" cy="2774048"/>
        </a:xfrm>
      </xdr:grpSpPr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329E2443-F097-1A21-FA1C-B4E17F666727}"/>
              </a:ext>
            </a:extLst>
          </xdr:cNvPr>
          <xdr:cNvSpPr/>
        </xdr:nvSpPr>
        <xdr:spPr>
          <a:xfrm>
            <a:off x="3346887" y="2567809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25</a:t>
            </a:r>
          </a:p>
        </xdr:txBody>
      </xdr:sp>
      <xdr:sp macro="" textlink="$AI$3">
        <xdr:nvSpPr>
          <xdr:cNvPr id="154" name="Retângulo 153">
            <a:extLst>
              <a:ext uri="{FF2B5EF4-FFF2-40B4-BE49-F238E27FC236}">
                <a16:creationId xmlns:a16="http://schemas.microsoft.com/office/drawing/2014/main" id="{3E007424-72AB-6683-47E6-6C06B4D97E28}"/>
              </a:ext>
            </a:extLst>
          </xdr:cNvPr>
          <xdr:cNvSpPr/>
        </xdr:nvSpPr>
        <xdr:spPr>
          <a:xfrm>
            <a:off x="3673351" y="2567809"/>
            <a:ext cx="39369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2113E53-ED97-4CE4-A3CE-EDF1156091D4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AI$2">
        <xdr:nvSpPr>
          <xdr:cNvPr id="155" name="Retângulo 154">
            <a:extLst>
              <a:ext uri="{FF2B5EF4-FFF2-40B4-BE49-F238E27FC236}">
                <a16:creationId xmlns:a16="http://schemas.microsoft.com/office/drawing/2014/main" id="{D19E55F7-2B21-D8E7-F3E6-AC3CB0CB200F}"/>
              </a:ext>
            </a:extLst>
          </xdr:cNvPr>
          <xdr:cNvSpPr/>
        </xdr:nvSpPr>
        <xdr:spPr>
          <a:xfrm>
            <a:off x="4085218" y="2567809"/>
            <a:ext cx="417278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7F86295-F78A-4B58-9932-3490528DAFA2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1559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56" name="Retângulo 155">
            <a:extLst>
              <a:ext uri="{FF2B5EF4-FFF2-40B4-BE49-F238E27FC236}">
                <a16:creationId xmlns:a16="http://schemas.microsoft.com/office/drawing/2014/main" id="{B3BCBAF4-6908-60A2-0A01-E6B7891E610C}"/>
              </a:ext>
            </a:extLst>
          </xdr:cNvPr>
          <xdr:cNvSpPr/>
        </xdr:nvSpPr>
        <xdr:spPr>
          <a:xfrm>
            <a:off x="3346887" y="2745225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30</a:t>
            </a:r>
          </a:p>
        </xdr:txBody>
      </xdr:sp>
      <xdr:sp macro="" textlink="$AN$3">
        <xdr:nvSpPr>
          <xdr:cNvPr id="157" name="Retângulo 156">
            <a:extLst>
              <a:ext uri="{FF2B5EF4-FFF2-40B4-BE49-F238E27FC236}">
                <a16:creationId xmlns:a16="http://schemas.microsoft.com/office/drawing/2014/main" id="{74DB5EA2-E87A-6225-9ED1-641D48FAC2D5}"/>
              </a:ext>
            </a:extLst>
          </xdr:cNvPr>
          <xdr:cNvSpPr/>
        </xdr:nvSpPr>
        <xdr:spPr>
          <a:xfrm>
            <a:off x="3680262" y="274522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A74F1C6-0396-4343-816A-1A09776C8F51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AN$2">
        <xdr:nvSpPr>
          <xdr:cNvPr id="158" name="Retângulo 157">
            <a:extLst>
              <a:ext uri="{FF2B5EF4-FFF2-40B4-BE49-F238E27FC236}">
                <a16:creationId xmlns:a16="http://schemas.microsoft.com/office/drawing/2014/main" id="{3823B521-426B-9E65-3189-F42F5702A2B4}"/>
              </a:ext>
            </a:extLst>
          </xdr:cNvPr>
          <xdr:cNvSpPr/>
        </xdr:nvSpPr>
        <xdr:spPr>
          <a:xfrm>
            <a:off x="4096870" y="273925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139EAAE-FE64-4784-AB85-00BB042E9249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1597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59" name="Retângulo 158">
            <a:extLst>
              <a:ext uri="{FF2B5EF4-FFF2-40B4-BE49-F238E27FC236}">
                <a16:creationId xmlns:a16="http://schemas.microsoft.com/office/drawing/2014/main" id="{A47C2FEB-0FAD-AE0C-56F3-8F8BE0174E6E}"/>
              </a:ext>
            </a:extLst>
          </xdr:cNvPr>
          <xdr:cNvSpPr/>
        </xdr:nvSpPr>
        <xdr:spPr>
          <a:xfrm>
            <a:off x="3346887" y="2916674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35</a:t>
            </a:r>
          </a:p>
        </xdr:txBody>
      </xdr:sp>
      <xdr:sp macro="" textlink="$AS$3">
        <xdr:nvSpPr>
          <xdr:cNvPr id="160" name="Retângulo 159">
            <a:extLst>
              <a:ext uri="{FF2B5EF4-FFF2-40B4-BE49-F238E27FC236}">
                <a16:creationId xmlns:a16="http://schemas.microsoft.com/office/drawing/2014/main" id="{315601EF-83D5-4909-DA05-599EAF9E4D6E}"/>
              </a:ext>
            </a:extLst>
          </xdr:cNvPr>
          <xdr:cNvSpPr/>
        </xdr:nvSpPr>
        <xdr:spPr>
          <a:xfrm>
            <a:off x="3680262" y="291667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1C57D62-6485-41A9-B351-407034C158AD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AS$2">
        <xdr:nvSpPr>
          <xdr:cNvPr id="161" name="Retângulo 160">
            <a:extLst>
              <a:ext uri="{FF2B5EF4-FFF2-40B4-BE49-F238E27FC236}">
                <a16:creationId xmlns:a16="http://schemas.microsoft.com/office/drawing/2014/main" id="{2CDC433F-C031-41A4-3DD4-0B0C287ED61E}"/>
              </a:ext>
            </a:extLst>
          </xdr:cNvPr>
          <xdr:cNvSpPr/>
        </xdr:nvSpPr>
        <xdr:spPr>
          <a:xfrm>
            <a:off x="4096870" y="291070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124F23-4847-4709-89C9-BEEBEC484F73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1612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62" name="Retângulo 161">
            <a:extLst>
              <a:ext uri="{FF2B5EF4-FFF2-40B4-BE49-F238E27FC236}">
                <a16:creationId xmlns:a16="http://schemas.microsoft.com/office/drawing/2014/main" id="{29FA41CE-D738-9A94-49CB-983C793D8E55}"/>
              </a:ext>
            </a:extLst>
          </xdr:cNvPr>
          <xdr:cNvSpPr/>
        </xdr:nvSpPr>
        <xdr:spPr>
          <a:xfrm>
            <a:off x="3346887" y="3088124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40</a:t>
            </a:r>
          </a:p>
        </xdr:txBody>
      </xdr:sp>
      <xdr:sp macro="" textlink="$AX$3">
        <xdr:nvSpPr>
          <xdr:cNvPr id="163" name="Retângulo 162">
            <a:extLst>
              <a:ext uri="{FF2B5EF4-FFF2-40B4-BE49-F238E27FC236}">
                <a16:creationId xmlns:a16="http://schemas.microsoft.com/office/drawing/2014/main" id="{2001DA54-B39B-DCA3-116F-B0D0E1ACD3AC}"/>
              </a:ext>
            </a:extLst>
          </xdr:cNvPr>
          <xdr:cNvSpPr/>
        </xdr:nvSpPr>
        <xdr:spPr>
          <a:xfrm>
            <a:off x="3680262" y="3088124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365EFEAE-35FE-4671-B91D-A68FEE88E655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AX$2">
        <xdr:nvSpPr>
          <xdr:cNvPr id="164" name="Retângulo 163">
            <a:extLst>
              <a:ext uri="{FF2B5EF4-FFF2-40B4-BE49-F238E27FC236}">
                <a16:creationId xmlns:a16="http://schemas.microsoft.com/office/drawing/2014/main" id="{F0E1AEB9-E977-1020-230F-62DB5FEB3C5A}"/>
              </a:ext>
            </a:extLst>
          </xdr:cNvPr>
          <xdr:cNvSpPr/>
        </xdr:nvSpPr>
        <xdr:spPr>
          <a:xfrm>
            <a:off x="4096870" y="308215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9D17950-1245-4378-B1C8-D60DE1B4ADA7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1626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65" name="Retângulo 164">
            <a:extLst>
              <a:ext uri="{FF2B5EF4-FFF2-40B4-BE49-F238E27FC236}">
                <a16:creationId xmlns:a16="http://schemas.microsoft.com/office/drawing/2014/main" id="{38A00A00-FD12-CC90-EA43-B49123DDF292}"/>
              </a:ext>
            </a:extLst>
          </xdr:cNvPr>
          <xdr:cNvSpPr/>
        </xdr:nvSpPr>
        <xdr:spPr>
          <a:xfrm>
            <a:off x="3346887" y="3259575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45</a:t>
            </a:r>
          </a:p>
        </xdr:txBody>
      </xdr:sp>
      <xdr:sp macro="" textlink="$BC$3">
        <xdr:nvSpPr>
          <xdr:cNvPr id="166" name="Retângulo 165">
            <a:extLst>
              <a:ext uri="{FF2B5EF4-FFF2-40B4-BE49-F238E27FC236}">
                <a16:creationId xmlns:a16="http://schemas.microsoft.com/office/drawing/2014/main" id="{E6A3F31F-370A-F188-4220-FB114B6D2463}"/>
              </a:ext>
            </a:extLst>
          </xdr:cNvPr>
          <xdr:cNvSpPr/>
        </xdr:nvSpPr>
        <xdr:spPr>
          <a:xfrm>
            <a:off x="3680262" y="325957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7BEE77E-6B78-4321-8A01-39B1D58FF6E2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BC$2">
        <xdr:nvSpPr>
          <xdr:cNvPr id="167" name="Retângulo 166">
            <a:extLst>
              <a:ext uri="{FF2B5EF4-FFF2-40B4-BE49-F238E27FC236}">
                <a16:creationId xmlns:a16="http://schemas.microsoft.com/office/drawing/2014/main" id="{0331A527-E05B-D082-BED6-AD9C42FDED08}"/>
              </a:ext>
            </a:extLst>
          </xdr:cNvPr>
          <xdr:cNvSpPr/>
        </xdr:nvSpPr>
        <xdr:spPr>
          <a:xfrm>
            <a:off x="4096870" y="325360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CAC07F7-DF73-4266-B439-90DE90B803E4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1636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68" name="Retângulo 167">
            <a:extLst>
              <a:ext uri="{FF2B5EF4-FFF2-40B4-BE49-F238E27FC236}">
                <a16:creationId xmlns:a16="http://schemas.microsoft.com/office/drawing/2014/main" id="{8162E0F0-C6B7-CD2F-6A5C-9A149EFEDFEE}"/>
              </a:ext>
            </a:extLst>
          </xdr:cNvPr>
          <xdr:cNvSpPr/>
        </xdr:nvSpPr>
        <xdr:spPr>
          <a:xfrm>
            <a:off x="3346887" y="3431025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50</a:t>
            </a:r>
          </a:p>
        </xdr:txBody>
      </xdr:sp>
      <xdr:sp macro="" textlink="$BH$3">
        <xdr:nvSpPr>
          <xdr:cNvPr id="169" name="Retângulo 168">
            <a:extLst>
              <a:ext uri="{FF2B5EF4-FFF2-40B4-BE49-F238E27FC236}">
                <a16:creationId xmlns:a16="http://schemas.microsoft.com/office/drawing/2014/main" id="{1DB72CDB-7380-BA9D-85EB-D010186E39FA}"/>
              </a:ext>
            </a:extLst>
          </xdr:cNvPr>
          <xdr:cNvSpPr/>
        </xdr:nvSpPr>
        <xdr:spPr>
          <a:xfrm>
            <a:off x="3680262" y="343102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0FDB383-078A-48AC-AE3B-A0CC9D022891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BH$2">
        <xdr:nvSpPr>
          <xdr:cNvPr id="170" name="Retângulo 169">
            <a:extLst>
              <a:ext uri="{FF2B5EF4-FFF2-40B4-BE49-F238E27FC236}">
                <a16:creationId xmlns:a16="http://schemas.microsoft.com/office/drawing/2014/main" id="{1FDC9162-2743-AF88-8BC1-D76E5C74B915}"/>
              </a:ext>
            </a:extLst>
          </xdr:cNvPr>
          <xdr:cNvSpPr/>
        </xdr:nvSpPr>
        <xdr:spPr>
          <a:xfrm>
            <a:off x="4096870" y="342505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9BFC42E-24D0-4EBF-B788-9DE7BB56A0B4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1646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71" name="Retângulo 170">
            <a:extLst>
              <a:ext uri="{FF2B5EF4-FFF2-40B4-BE49-F238E27FC236}">
                <a16:creationId xmlns:a16="http://schemas.microsoft.com/office/drawing/2014/main" id="{78B58F5A-6608-14DF-B09C-DA1914FE20BF}"/>
              </a:ext>
            </a:extLst>
          </xdr:cNvPr>
          <xdr:cNvSpPr/>
        </xdr:nvSpPr>
        <xdr:spPr>
          <a:xfrm>
            <a:off x="3346887" y="3602475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55</a:t>
            </a:r>
          </a:p>
        </xdr:txBody>
      </xdr:sp>
      <xdr:sp macro="" textlink="$BM$3">
        <xdr:nvSpPr>
          <xdr:cNvPr id="172" name="Retângulo 171">
            <a:extLst>
              <a:ext uri="{FF2B5EF4-FFF2-40B4-BE49-F238E27FC236}">
                <a16:creationId xmlns:a16="http://schemas.microsoft.com/office/drawing/2014/main" id="{572AB5C5-E365-EF91-AE92-59E013EC4E85}"/>
              </a:ext>
            </a:extLst>
          </xdr:cNvPr>
          <xdr:cNvSpPr/>
        </xdr:nvSpPr>
        <xdr:spPr>
          <a:xfrm>
            <a:off x="3680262" y="360247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6DBEB5A-F16C-466C-94F3-D0232CE0ED33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BM$2">
        <xdr:nvSpPr>
          <xdr:cNvPr id="173" name="Retângulo 172">
            <a:extLst>
              <a:ext uri="{FF2B5EF4-FFF2-40B4-BE49-F238E27FC236}">
                <a16:creationId xmlns:a16="http://schemas.microsoft.com/office/drawing/2014/main" id="{44B9171F-05A3-1DD4-0E7D-45823F771BA2}"/>
              </a:ext>
            </a:extLst>
          </xdr:cNvPr>
          <xdr:cNvSpPr/>
        </xdr:nvSpPr>
        <xdr:spPr>
          <a:xfrm>
            <a:off x="4096870" y="359650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7F6E1CF-1FDF-43B2-ADE5-A151D58BF5A3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1656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74" name="Retângulo 173">
            <a:extLst>
              <a:ext uri="{FF2B5EF4-FFF2-40B4-BE49-F238E27FC236}">
                <a16:creationId xmlns:a16="http://schemas.microsoft.com/office/drawing/2014/main" id="{236D9187-F3EA-88F5-312E-C73545EB3114}"/>
              </a:ext>
            </a:extLst>
          </xdr:cNvPr>
          <xdr:cNvSpPr/>
        </xdr:nvSpPr>
        <xdr:spPr>
          <a:xfrm>
            <a:off x="3346887" y="3773925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60</a:t>
            </a:r>
          </a:p>
        </xdr:txBody>
      </xdr:sp>
      <xdr:sp macro="" textlink="$BR$3">
        <xdr:nvSpPr>
          <xdr:cNvPr id="175" name="Retângulo 174">
            <a:extLst>
              <a:ext uri="{FF2B5EF4-FFF2-40B4-BE49-F238E27FC236}">
                <a16:creationId xmlns:a16="http://schemas.microsoft.com/office/drawing/2014/main" id="{8B2061A0-76DA-2A70-0B30-2DB209732544}"/>
              </a:ext>
            </a:extLst>
          </xdr:cNvPr>
          <xdr:cNvSpPr/>
        </xdr:nvSpPr>
        <xdr:spPr>
          <a:xfrm>
            <a:off x="3680262" y="377392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6272780-11B2-4DE3-81CF-4E1AF3D9AF9F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BR$2">
        <xdr:nvSpPr>
          <xdr:cNvPr id="176" name="Retângulo 175">
            <a:extLst>
              <a:ext uri="{FF2B5EF4-FFF2-40B4-BE49-F238E27FC236}">
                <a16:creationId xmlns:a16="http://schemas.microsoft.com/office/drawing/2014/main" id="{5E226280-0CAD-65E0-ED61-3B024A8869D6}"/>
              </a:ext>
            </a:extLst>
          </xdr:cNvPr>
          <xdr:cNvSpPr/>
        </xdr:nvSpPr>
        <xdr:spPr>
          <a:xfrm>
            <a:off x="4096870" y="376795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27EF7F4-5273-482B-BE91-497F00D35132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1666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77" name="Retângulo 176">
            <a:extLst>
              <a:ext uri="{FF2B5EF4-FFF2-40B4-BE49-F238E27FC236}">
                <a16:creationId xmlns:a16="http://schemas.microsoft.com/office/drawing/2014/main" id="{D7CDF609-890D-83BF-78BF-B66EF59A6D63}"/>
              </a:ext>
            </a:extLst>
          </xdr:cNvPr>
          <xdr:cNvSpPr/>
        </xdr:nvSpPr>
        <xdr:spPr>
          <a:xfrm>
            <a:off x="3346887" y="3945375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65</a:t>
            </a:r>
          </a:p>
        </xdr:txBody>
      </xdr:sp>
      <xdr:sp macro="" textlink="$BW$3">
        <xdr:nvSpPr>
          <xdr:cNvPr id="178" name="Retângulo 177">
            <a:extLst>
              <a:ext uri="{FF2B5EF4-FFF2-40B4-BE49-F238E27FC236}">
                <a16:creationId xmlns:a16="http://schemas.microsoft.com/office/drawing/2014/main" id="{D2A120D8-A126-11D2-2EA6-03BCBA7C3516}"/>
              </a:ext>
            </a:extLst>
          </xdr:cNvPr>
          <xdr:cNvSpPr/>
        </xdr:nvSpPr>
        <xdr:spPr>
          <a:xfrm>
            <a:off x="3680262" y="394537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9B90D404-AFBC-4BEF-AAD4-6DC6160A66F3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BW$2">
        <xdr:nvSpPr>
          <xdr:cNvPr id="179" name="Retângulo 178">
            <a:extLst>
              <a:ext uri="{FF2B5EF4-FFF2-40B4-BE49-F238E27FC236}">
                <a16:creationId xmlns:a16="http://schemas.microsoft.com/office/drawing/2014/main" id="{994DAED5-2C78-0BEF-ACC4-7B8DB5BED625}"/>
              </a:ext>
            </a:extLst>
          </xdr:cNvPr>
          <xdr:cNvSpPr/>
        </xdr:nvSpPr>
        <xdr:spPr>
          <a:xfrm>
            <a:off x="4096870" y="393940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85F0BF4-521E-4CCF-A939-62BAAEAD2725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1676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80" name="Retângulo 179">
            <a:extLst>
              <a:ext uri="{FF2B5EF4-FFF2-40B4-BE49-F238E27FC236}">
                <a16:creationId xmlns:a16="http://schemas.microsoft.com/office/drawing/2014/main" id="{D31D5DE6-4F55-FF1A-71F0-1AE41A8826A4}"/>
              </a:ext>
            </a:extLst>
          </xdr:cNvPr>
          <xdr:cNvSpPr/>
        </xdr:nvSpPr>
        <xdr:spPr>
          <a:xfrm>
            <a:off x="3346887" y="4116824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70</a:t>
            </a:r>
          </a:p>
        </xdr:txBody>
      </xdr:sp>
      <xdr:sp macro="" textlink="$CB$3">
        <xdr:nvSpPr>
          <xdr:cNvPr id="181" name="Retângulo 180">
            <a:extLst>
              <a:ext uri="{FF2B5EF4-FFF2-40B4-BE49-F238E27FC236}">
                <a16:creationId xmlns:a16="http://schemas.microsoft.com/office/drawing/2014/main" id="{7BD8A374-6C65-2510-6E05-4E42083135D9}"/>
              </a:ext>
            </a:extLst>
          </xdr:cNvPr>
          <xdr:cNvSpPr/>
        </xdr:nvSpPr>
        <xdr:spPr>
          <a:xfrm>
            <a:off x="3680262" y="411682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A59F8B5A-3B4D-4C16-8E66-D4C570F913AF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CB$2">
        <xdr:nvSpPr>
          <xdr:cNvPr id="182" name="Retângulo 181">
            <a:extLst>
              <a:ext uri="{FF2B5EF4-FFF2-40B4-BE49-F238E27FC236}">
                <a16:creationId xmlns:a16="http://schemas.microsoft.com/office/drawing/2014/main" id="{45C293F9-0188-9D99-7FCF-17685C7C374B}"/>
              </a:ext>
            </a:extLst>
          </xdr:cNvPr>
          <xdr:cNvSpPr/>
        </xdr:nvSpPr>
        <xdr:spPr>
          <a:xfrm>
            <a:off x="4096870" y="411085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785578A-B9D0-4D52-A361-C0DC147A463D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1686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83" name="Retângulo 182">
            <a:extLst>
              <a:ext uri="{FF2B5EF4-FFF2-40B4-BE49-F238E27FC236}">
                <a16:creationId xmlns:a16="http://schemas.microsoft.com/office/drawing/2014/main" id="{22164376-C230-E611-A0C8-6E53322B4410}"/>
              </a:ext>
            </a:extLst>
          </xdr:cNvPr>
          <xdr:cNvSpPr/>
        </xdr:nvSpPr>
        <xdr:spPr>
          <a:xfrm>
            <a:off x="3346887" y="4297800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75</a:t>
            </a:r>
          </a:p>
        </xdr:txBody>
      </xdr:sp>
      <xdr:sp macro="" textlink="$CG$3">
        <xdr:nvSpPr>
          <xdr:cNvPr id="184" name="Retângulo 183">
            <a:extLst>
              <a:ext uri="{FF2B5EF4-FFF2-40B4-BE49-F238E27FC236}">
                <a16:creationId xmlns:a16="http://schemas.microsoft.com/office/drawing/2014/main" id="{CC30401E-E185-F317-3922-ABFA538E61C4}"/>
              </a:ext>
            </a:extLst>
          </xdr:cNvPr>
          <xdr:cNvSpPr/>
        </xdr:nvSpPr>
        <xdr:spPr>
          <a:xfrm>
            <a:off x="3680262" y="4297800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30E245E-1988-422B-AAF7-6392633E3F4F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CG$2">
        <xdr:nvSpPr>
          <xdr:cNvPr id="185" name="Retângulo 184">
            <a:extLst>
              <a:ext uri="{FF2B5EF4-FFF2-40B4-BE49-F238E27FC236}">
                <a16:creationId xmlns:a16="http://schemas.microsoft.com/office/drawing/2014/main" id="{8A75F5B6-743D-3C5A-4760-FBFFF38571F2}"/>
              </a:ext>
            </a:extLst>
          </xdr:cNvPr>
          <xdr:cNvSpPr/>
        </xdr:nvSpPr>
        <xdr:spPr>
          <a:xfrm>
            <a:off x="4096870" y="4291834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8033A10-E0E5-4251-ACB8-46B5B3D37429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1696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86" name="Retângulo 185">
            <a:extLst>
              <a:ext uri="{FF2B5EF4-FFF2-40B4-BE49-F238E27FC236}">
                <a16:creationId xmlns:a16="http://schemas.microsoft.com/office/drawing/2014/main" id="{2381F1D2-0366-F318-B478-5D90624CBD20}"/>
              </a:ext>
            </a:extLst>
          </xdr:cNvPr>
          <xdr:cNvSpPr/>
        </xdr:nvSpPr>
        <xdr:spPr>
          <a:xfrm>
            <a:off x="3346887" y="4478775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80</a:t>
            </a:r>
          </a:p>
        </xdr:txBody>
      </xdr:sp>
      <xdr:sp macro="" textlink="$CL$3">
        <xdr:nvSpPr>
          <xdr:cNvPr id="187" name="Retângulo 186">
            <a:extLst>
              <a:ext uri="{FF2B5EF4-FFF2-40B4-BE49-F238E27FC236}">
                <a16:creationId xmlns:a16="http://schemas.microsoft.com/office/drawing/2014/main" id="{861EE926-3BA9-4148-177E-9E4E5917BD3F}"/>
              </a:ext>
            </a:extLst>
          </xdr:cNvPr>
          <xdr:cNvSpPr/>
        </xdr:nvSpPr>
        <xdr:spPr>
          <a:xfrm>
            <a:off x="3680262" y="447877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33B385D-7FF4-4C8E-8905-6A0D51AEFF49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CL$2">
        <xdr:nvSpPr>
          <xdr:cNvPr id="188" name="Retângulo 187">
            <a:extLst>
              <a:ext uri="{FF2B5EF4-FFF2-40B4-BE49-F238E27FC236}">
                <a16:creationId xmlns:a16="http://schemas.microsoft.com/office/drawing/2014/main" id="{975EF3DF-8971-56DF-3B6F-4636DB6E894C}"/>
              </a:ext>
            </a:extLst>
          </xdr:cNvPr>
          <xdr:cNvSpPr/>
        </xdr:nvSpPr>
        <xdr:spPr>
          <a:xfrm>
            <a:off x="4096870" y="447280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64BEC74-23EE-4639-B024-0505A82F8B2F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1705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89" name="Retângulo 188">
            <a:extLst>
              <a:ext uri="{FF2B5EF4-FFF2-40B4-BE49-F238E27FC236}">
                <a16:creationId xmlns:a16="http://schemas.microsoft.com/office/drawing/2014/main" id="{26B243A4-F8EC-E2DA-257A-79243503C852}"/>
              </a:ext>
            </a:extLst>
          </xdr:cNvPr>
          <xdr:cNvSpPr/>
        </xdr:nvSpPr>
        <xdr:spPr>
          <a:xfrm>
            <a:off x="3346887" y="4659750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85</a:t>
            </a:r>
          </a:p>
        </xdr:txBody>
      </xdr:sp>
      <xdr:sp macro="" textlink="$CQ$3">
        <xdr:nvSpPr>
          <xdr:cNvPr id="190" name="Retângulo 189">
            <a:extLst>
              <a:ext uri="{FF2B5EF4-FFF2-40B4-BE49-F238E27FC236}">
                <a16:creationId xmlns:a16="http://schemas.microsoft.com/office/drawing/2014/main" id="{AC488EA6-D660-828E-C5FD-BDA8A2D7944A}"/>
              </a:ext>
            </a:extLst>
          </xdr:cNvPr>
          <xdr:cNvSpPr/>
        </xdr:nvSpPr>
        <xdr:spPr>
          <a:xfrm>
            <a:off x="3680262" y="4659749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954F8CD5-D375-4273-ACA8-268486778D36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CQ$2">
        <xdr:nvSpPr>
          <xdr:cNvPr id="191" name="Retângulo 190">
            <a:extLst>
              <a:ext uri="{FF2B5EF4-FFF2-40B4-BE49-F238E27FC236}">
                <a16:creationId xmlns:a16="http://schemas.microsoft.com/office/drawing/2014/main" id="{BA74A84E-B820-173C-452B-F030F794A2DD}"/>
              </a:ext>
            </a:extLst>
          </xdr:cNvPr>
          <xdr:cNvSpPr/>
        </xdr:nvSpPr>
        <xdr:spPr>
          <a:xfrm>
            <a:off x="4096870" y="4653784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D244F0-7327-4EC4-B95D-4BDF24778BEF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1710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92" name="Retângulo 191">
            <a:extLst>
              <a:ext uri="{FF2B5EF4-FFF2-40B4-BE49-F238E27FC236}">
                <a16:creationId xmlns:a16="http://schemas.microsoft.com/office/drawing/2014/main" id="{8A8D1753-A3AC-FCEE-8C58-39DDDD419ABA}"/>
              </a:ext>
            </a:extLst>
          </xdr:cNvPr>
          <xdr:cNvSpPr/>
        </xdr:nvSpPr>
        <xdr:spPr>
          <a:xfrm>
            <a:off x="3346887" y="4840725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90</a:t>
            </a:r>
          </a:p>
        </xdr:txBody>
      </xdr:sp>
      <xdr:sp macro="" textlink="$CV$3">
        <xdr:nvSpPr>
          <xdr:cNvPr id="193" name="Retângulo 192">
            <a:extLst>
              <a:ext uri="{FF2B5EF4-FFF2-40B4-BE49-F238E27FC236}">
                <a16:creationId xmlns:a16="http://schemas.microsoft.com/office/drawing/2014/main" id="{E0A03B01-E370-6B8A-687C-1E9A3C282441}"/>
              </a:ext>
            </a:extLst>
          </xdr:cNvPr>
          <xdr:cNvSpPr/>
        </xdr:nvSpPr>
        <xdr:spPr>
          <a:xfrm>
            <a:off x="3680262" y="4840725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A59834E-8385-41EE-A781-966BDBB6C1D6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CV$2">
        <xdr:nvSpPr>
          <xdr:cNvPr id="194" name="Retângulo 193">
            <a:extLst>
              <a:ext uri="{FF2B5EF4-FFF2-40B4-BE49-F238E27FC236}">
                <a16:creationId xmlns:a16="http://schemas.microsoft.com/office/drawing/2014/main" id="{E5CE1C8F-E950-3147-9A3E-D0DD06EE6A67}"/>
              </a:ext>
            </a:extLst>
          </xdr:cNvPr>
          <xdr:cNvSpPr/>
        </xdr:nvSpPr>
        <xdr:spPr>
          <a:xfrm>
            <a:off x="4096870" y="4834759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53BFEDA-3D5C-409E-8765-EDC51C074907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1715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195" name="Retângulo 194">
            <a:extLst>
              <a:ext uri="{FF2B5EF4-FFF2-40B4-BE49-F238E27FC236}">
                <a16:creationId xmlns:a16="http://schemas.microsoft.com/office/drawing/2014/main" id="{A8CAA42B-FB62-5874-AE9E-E1D0BA040D3B}"/>
              </a:ext>
            </a:extLst>
          </xdr:cNvPr>
          <xdr:cNvSpPr/>
        </xdr:nvSpPr>
        <xdr:spPr>
          <a:xfrm>
            <a:off x="3346887" y="5021700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95</a:t>
            </a:r>
          </a:p>
        </xdr:txBody>
      </xdr:sp>
      <xdr:sp macro="" textlink="$DA$3">
        <xdr:nvSpPr>
          <xdr:cNvPr id="196" name="Retângulo 195">
            <a:extLst>
              <a:ext uri="{FF2B5EF4-FFF2-40B4-BE49-F238E27FC236}">
                <a16:creationId xmlns:a16="http://schemas.microsoft.com/office/drawing/2014/main" id="{40DCC0FA-8BAB-8160-0E00-4849D62F953F}"/>
              </a:ext>
            </a:extLst>
          </xdr:cNvPr>
          <xdr:cNvSpPr/>
        </xdr:nvSpPr>
        <xdr:spPr>
          <a:xfrm>
            <a:off x="3680262" y="5021700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E455700-4023-4A76-840A-02FD6970417E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DA$2">
        <xdr:nvSpPr>
          <xdr:cNvPr id="197" name="Retângulo 196">
            <a:extLst>
              <a:ext uri="{FF2B5EF4-FFF2-40B4-BE49-F238E27FC236}">
                <a16:creationId xmlns:a16="http://schemas.microsoft.com/office/drawing/2014/main" id="{36BE82DB-32FB-95E4-4DB6-4090B25BCBF3}"/>
              </a:ext>
            </a:extLst>
          </xdr:cNvPr>
          <xdr:cNvSpPr/>
        </xdr:nvSpPr>
        <xdr:spPr>
          <a:xfrm>
            <a:off x="4096870" y="5015734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A346D46C-FA68-456D-87FB-60F5D6A3049C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1720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AI$5">
        <xdr:nvSpPr>
          <xdr:cNvPr id="418" name="Retângulo 417">
            <a:extLst>
              <a:ext uri="{FF2B5EF4-FFF2-40B4-BE49-F238E27FC236}">
                <a16:creationId xmlns:a16="http://schemas.microsoft.com/office/drawing/2014/main" id="{30955B89-0BF6-5985-81F5-9F3CA69DEDC9}"/>
              </a:ext>
            </a:extLst>
          </xdr:cNvPr>
          <xdr:cNvSpPr/>
        </xdr:nvSpPr>
        <xdr:spPr>
          <a:xfrm>
            <a:off x="4520480" y="256780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9140519-995E-45E2-9C78-9957CE532DCE}" type="TxLink">
              <a:rPr lang="en-US" sz="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 </a:t>
            </a:fld>
            <a:endParaRPr lang="pt-BR" sz="6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AN$5">
        <xdr:nvSpPr>
          <xdr:cNvPr id="419" name="Retângulo 418">
            <a:extLst>
              <a:ext uri="{FF2B5EF4-FFF2-40B4-BE49-F238E27FC236}">
                <a16:creationId xmlns:a16="http://schemas.microsoft.com/office/drawing/2014/main" id="{C818F17E-B5C1-AD4F-E29E-DD241D15315A}"/>
              </a:ext>
            </a:extLst>
          </xdr:cNvPr>
          <xdr:cNvSpPr/>
        </xdr:nvSpPr>
        <xdr:spPr>
          <a:xfrm>
            <a:off x="4514515" y="273925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C97C94D-6B7E-46E7-BE84-B3F5B2118272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S$5">
        <xdr:nvSpPr>
          <xdr:cNvPr id="420" name="Retângulo 419">
            <a:extLst>
              <a:ext uri="{FF2B5EF4-FFF2-40B4-BE49-F238E27FC236}">
                <a16:creationId xmlns:a16="http://schemas.microsoft.com/office/drawing/2014/main" id="{16233455-A147-DBCE-3505-07236F9E7BAD}"/>
              </a:ext>
            </a:extLst>
          </xdr:cNvPr>
          <xdr:cNvSpPr/>
        </xdr:nvSpPr>
        <xdr:spPr>
          <a:xfrm>
            <a:off x="4514515" y="291070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1DA5D66-9351-4C94-A63D-F5B2B7E5EC89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X$5">
        <xdr:nvSpPr>
          <xdr:cNvPr id="421" name="Retângulo 420">
            <a:extLst>
              <a:ext uri="{FF2B5EF4-FFF2-40B4-BE49-F238E27FC236}">
                <a16:creationId xmlns:a16="http://schemas.microsoft.com/office/drawing/2014/main" id="{8C883337-B566-4E0B-32A1-3AACDC02F23F}"/>
              </a:ext>
            </a:extLst>
          </xdr:cNvPr>
          <xdr:cNvSpPr/>
        </xdr:nvSpPr>
        <xdr:spPr>
          <a:xfrm>
            <a:off x="4514515" y="308215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914686C-4578-4DD9-BDD4-6BE1BC601A50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BC$5">
        <xdr:nvSpPr>
          <xdr:cNvPr id="422" name="Retângulo 421">
            <a:extLst>
              <a:ext uri="{FF2B5EF4-FFF2-40B4-BE49-F238E27FC236}">
                <a16:creationId xmlns:a16="http://schemas.microsoft.com/office/drawing/2014/main" id="{CAF738AD-48C8-464E-7E84-A079B93B0237}"/>
              </a:ext>
            </a:extLst>
          </xdr:cNvPr>
          <xdr:cNvSpPr/>
        </xdr:nvSpPr>
        <xdr:spPr>
          <a:xfrm>
            <a:off x="4514515" y="325360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BF19BC3-46B0-4C94-87EC-97FBA1D1E5BD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BH$5">
        <xdr:nvSpPr>
          <xdr:cNvPr id="423" name="Retângulo 422">
            <a:extLst>
              <a:ext uri="{FF2B5EF4-FFF2-40B4-BE49-F238E27FC236}">
                <a16:creationId xmlns:a16="http://schemas.microsoft.com/office/drawing/2014/main" id="{58D08F35-16EC-D9DA-E571-C5102CF6BBFF}"/>
              </a:ext>
            </a:extLst>
          </xdr:cNvPr>
          <xdr:cNvSpPr/>
        </xdr:nvSpPr>
        <xdr:spPr>
          <a:xfrm>
            <a:off x="4514515" y="342505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C49F1910-0720-4E6A-B18B-F96C0972FC0B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BM$5">
        <xdr:nvSpPr>
          <xdr:cNvPr id="424" name="Retângulo 423">
            <a:extLst>
              <a:ext uri="{FF2B5EF4-FFF2-40B4-BE49-F238E27FC236}">
                <a16:creationId xmlns:a16="http://schemas.microsoft.com/office/drawing/2014/main" id="{63E0AFEB-9875-6AA8-7076-2D7106AEA812}"/>
              </a:ext>
            </a:extLst>
          </xdr:cNvPr>
          <xdr:cNvSpPr/>
        </xdr:nvSpPr>
        <xdr:spPr>
          <a:xfrm>
            <a:off x="4514515" y="359650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4CC942B-56DD-4ECC-ACF3-002B27113A06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BR$5">
        <xdr:nvSpPr>
          <xdr:cNvPr id="425" name="Retângulo 424">
            <a:extLst>
              <a:ext uri="{FF2B5EF4-FFF2-40B4-BE49-F238E27FC236}">
                <a16:creationId xmlns:a16="http://schemas.microsoft.com/office/drawing/2014/main" id="{67C5EA31-49E2-2A37-3900-9DAAA45408B8}"/>
              </a:ext>
            </a:extLst>
          </xdr:cNvPr>
          <xdr:cNvSpPr/>
        </xdr:nvSpPr>
        <xdr:spPr>
          <a:xfrm>
            <a:off x="4514515" y="376795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83FA28B-78A8-4097-AC84-C70AEA1685A7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BW$5">
        <xdr:nvSpPr>
          <xdr:cNvPr id="426" name="Retângulo 425">
            <a:extLst>
              <a:ext uri="{FF2B5EF4-FFF2-40B4-BE49-F238E27FC236}">
                <a16:creationId xmlns:a16="http://schemas.microsoft.com/office/drawing/2014/main" id="{ACAC4868-512E-BE0A-6B8F-58210C2FE86F}"/>
              </a:ext>
            </a:extLst>
          </xdr:cNvPr>
          <xdr:cNvSpPr/>
        </xdr:nvSpPr>
        <xdr:spPr>
          <a:xfrm>
            <a:off x="4514515" y="393940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E43EE44-A37B-4ECF-BCDA-10F668768F23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CB$5">
        <xdr:nvSpPr>
          <xdr:cNvPr id="427" name="Retângulo 426">
            <a:extLst>
              <a:ext uri="{FF2B5EF4-FFF2-40B4-BE49-F238E27FC236}">
                <a16:creationId xmlns:a16="http://schemas.microsoft.com/office/drawing/2014/main" id="{3D3CE122-47A4-28DC-16DA-FCC795C3C69C}"/>
              </a:ext>
            </a:extLst>
          </xdr:cNvPr>
          <xdr:cNvSpPr/>
        </xdr:nvSpPr>
        <xdr:spPr>
          <a:xfrm>
            <a:off x="4514515" y="411085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D1701B8-66B9-45DC-9A00-5B2B3C01C42D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CG$5">
        <xdr:nvSpPr>
          <xdr:cNvPr id="428" name="Retângulo 427">
            <a:extLst>
              <a:ext uri="{FF2B5EF4-FFF2-40B4-BE49-F238E27FC236}">
                <a16:creationId xmlns:a16="http://schemas.microsoft.com/office/drawing/2014/main" id="{49639DAD-7D61-B26F-F1AD-0F71D3FA29C4}"/>
              </a:ext>
            </a:extLst>
          </xdr:cNvPr>
          <xdr:cNvSpPr/>
        </xdr:nvSpPr>
        <xdr:spPr>
          <a:xfrm>
            <a:off x="4514515" y="4291834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CB005B3-60BD-426C-AD57-1DF639808098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CL$5">
        <xdr:nvSpPr>
          <xdr:cNvPr id="429" name="Retângulo 428">
            <a:extLst>
              <a:ext uri="{FF2B5EF4-FFF2-40B4-BE49-F238E27FC236}">
                <a16:creationId xmlns:a16="http://schemas.microsoft.com/office/drawing/2014/main" id="{354B6EBB-4F04-3BBE-61B9-E2B20D96482D}"/>
              </a:ext>
            </a:extLst>
          </xdr:cNvPr>
          <xdr:cNvSpPr/>
        </xdr:nvSpPr>
        <xdr:spPr>
          <a:xfrm>
            <a:off x="4514515" y="447280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15B53A17-6B39-4C25-8718-E707D8A91F38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CQ$5">
        <xdr:nvSpPr>
          <xdr:cNvPr id="430" name="Retângulo 429">
            <a:extLst>
              <a:ext uri="{FF2B5EF4-FFF2-40B4-BE49-F238E27FC236}">
                <a16:creationId xmlns:a16="http://schemas.microsoft.com/office/drawing/2014/main" id="{76148D47-90C9-0DCF-453F-3D3E9BE65598}"/>
              </a:ext>
            </a:extLst>
          </xdr:cNvPr>
          <xdr:cNvSpPr/>
        </xdr:nvSpPr>
        <xdr:spPr>
          <a:xfrm>
            <a:off x="4514515" y="4653784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A719D99-900A-4E14-B82B-A6E90DCDAEAC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CV$5">
        <xdr:nvSpPr>
          <xdr:cNvPr id="431" name="Retângulo 430">
            <a:extLst>
              <a:ext uri="{FF2B5EF4-FFF2-40B4-BE49-F238E27FC236}">
                <a16:creationId xmlns:a16="http://schemas.microsoft.com/office/drawing/2014/main" id="{ABC27691-3CDE-8A4B-7E51-B0DB6E39420B}"/>
              </a:ext>
            </a:extLst>
          </xdr:cNvPr>
          <xdr:cNvSpPr/>
        </xdr:nvSpPr>
        <xdr:spPr>
          <a:xfrm>
            <a:off x="4514515" y="4834759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22DA992B-A5F9-4A30-BB06-367FC720B71B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DA$5">
        <xdr:nvSpPr>
          <xdr:cNvPr id="432" name="Retângulo 431">
            <a:extLst>
              <a:ext uri="{FF2B5EF4-FFF2-40B4-BE49-F238E27FC236}">
                <a16:creationId xmlns:a16="http://schemas.microsoft.com/office/drawing/2014/main" id="{3BD6DA23-4FC0-9461-FFCB-05EFB3F65235}"/>
              </a:ext>
            </a:extLst>
          </xdr:cNvPr>
          <xdr:cNvSpPr/>
        </xdr:nvSpPr>
        <xdr:spPr>
          <a:xfrm>
            <a:off x="4514515" y="5015734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71A1580-6BC6-43C9-8A5F-5CD0F9EBBB24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2FBC17DF-A623-C8A0-6A22-7FAD7A4E8437}"/>
              </a:ext>
            </a:extLst>
          </xdr:cNvPr>
          <xdr:cNvSpPr/>
        </xdr:nvSpPr>
        <xdr:spPr>
          <a:xfrm>
            <a:off x="3346887" y="5189457"/>
            <a:ext cx="295275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500" b="1"/>
              <a:t>100</a:t>
            </a:r>
          </a:p>
        </xdr:txBody>
      </xdr:sp>
      <xdr:sp macro="" textlink="$DF$3">
        <xdr:nvSpPr>
          <xdr:cNvPr id="13" name="Retângulo 12">
            <a:extLst>
              <a:ext uri="{FF2B5EF4-FFF2-40B4-BE49-F238E27FC236}">
                <a16:creationId xmlns:a16="http://schemas.microsoft.com/office/drawing/2014/main" id="{CD409378-B779-F475-F2D5-E233A1652DC3}"/>
              </a:ext>
            </a:extLst>
          </xdr:cNvPr>
          <xdr:cNvSpPr/>
        </xdr:nvSpPr>
        <xdr:spPr>
          <a:xfrm>
            <a:off x="3680262" y="5189457"/>
            <a:ext cx="392749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07D6A9B-FAC5-4C72-A677-11EE1388CF5B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DF$2">
        <xdr:nvSpPr>
          <xdr:cNvPr id="16" name="Retângulo 15">
            <a:extLst>
              <a:ext uri="{FF2B5EF4-FFF2-40B4-BE49-F238E27FC236}">
                <a16:creationId xmlns:a16="http://schemas.microsoft.com/office/drawing/2014/main" id="{CBBF6159-3E6F-8039-6524-A3C4B85A4165}"/>
              </a:ext>
            </a:extLst>
          </xdr:cNvPr>
          <xdr:cNvSpPr/>
        </xdr:nvSpPr>
        <xdr:spPr>
          <a:xfrm>
            <a:off x="4096870" y="5183490"/>
            <a:ext cx="39564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83D51CF-F554-4A53-A59F-4744EAEEE986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1725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DF$5">
        <xdr:nvSpPr>
          <xdr:cNvPr id="17" name="Retângulo 16">
            <a:extLst>
              <a:ext uri="{FF2B5EF4-FFF2-40B4-BE49-F238E27FC236}">
                <a16:creationId xmlns:a16="http://schemas.microsoft.com/office/drawing/2014/main" id="{C0CCAD3F-E2A7-C406-2BD6-6BA90C364DA8}"/>
              </a:ext>
            </a:extLst>
          </xdr:cNvPr>
          <xdr:cNvSpPr/>
        </xdr:nvSpPr>
        <xdr:spPr>
          <a:xfrm>
            <a:off x="4514515" y="5183490"/>
            <a:ext cx="293962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34238F41-00B4-441B-96FB-F023C9F64D96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0</xdr:col>
      <xdr:colOff>45724</xdr:colOff>
      <xdr:row>13</xdr:row>
      <xdr:rowOff>116369</xdr:rowOff>
    </xdr:from>
    <xdr:to>
      <xdr:col>1</xdr:col>
      <xdr:colOff>191925</xdr:colOff>
      <xdr:row>14</xdr:row>
      <xdr:rowOff>78269</xdr:rowOff>
    </xdr:to>
    <xdr:sp macro="" textlink="">
      <xdr:nvSpPr>
        <xdr:cNvPr id="207" name="Retângulo 206">
          <a:extLst>
            <a:ext uri="{FF2B5EF4-FFF2-40B4-BE49-F238E27FC236}">
              <a16:creationId xmlns:a16="http://schemas.microsoft.com/office/drawing/2014/main" id="{58C37B75-0C5A-BE01-B9BC-65DDB7F53818}"/>
            </a:ext>
          </a:extLst>
        </xdr:cNvPr>
        <xdr:cNvSpPr/>
      </xdr:nvSpPr>
      <xdr:spPr>
        <a:xfrm>
          <a:off x="45724" y="3146397"/>
          <a:ext cx="297163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1</a:t>
          </a:r>
        </a:p>
      </xdr:txBody>
    </xdr:sp>
    <xdr:clientData/>
  </xdr:twoCellAnchor>
  <xdr:twoCellAnchor>
    <xdr:from>
      <xdr:col>1</xdr:col>
      <xdr:colOff>215633</xdr:colOff>
      <xdr:row>13</xdr:row>
      <xdr:rowOff>116369</xdr:rowOff>
    </xdr:from>
    <xdr:to>
      <xdr:col>1</xdr:col>
      <xdr:colOff>611038</xdr:colOff>
      <xdr:row>14</xdr:row>
      <xdr:rowOff>78269</xdr:rowOff>
    </xdr:to>
    <xdr:sp macro="" textlink="$K$3">
      <xdr:nvSpPr>
        <xdr:cNvPr id="208" name="Retângulo 207">
          <a:extLst>
            <a:ext uri="{FF2B5EF4-FFF2-40B4-BE49-F238E27FC236}">
              <a16:creationId xmlns:a16="http://schemas.microsoft.com/office/drawing/2014/main" id="{E87A201F-BD4B-3E9F-9C47-89223038782A}"/>
            </a:ext>
          </a:extLst>
        </xdr:cNvPr>
        <xdr:cNvSpPr/>
      </xdr:nvSpPr>
      <xdr:spPr>
        <a:xfrm>
          <a:off x="366912" y="3144759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07C2E32-69F7-4DD2-BC9E-FBE119076EA5}" type="TxLink">
            <a:rPr lang="en-US" sz="800" b="1" i="0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</xdr:col>
      <xdr:colOff>633720</xdr:colOff>
      <xdr:row>13</xdr:row>
      <xdr:rowOff>115910</xdr:rowOff>
    </xdr:from>
    <xdr:to>
      <xdr:col>2</xdr:col>
      <xdr:colOff>39037</xdr:colOff>
      <xdr:row>14</xdr:row>
      <xdr:rowOff>77810</xdr:rowOff>
    </xdr:to>
    <xdr:sp macro="" textlink="$K$2">
      <xdr:nvSpPr>
        <xdr:cNvPr id="209" name="Retângulo 208">
          <a:extLst>
            <a:ext uri="{FF2B5EF4-FFF2-40B4-BE49-F238E27FC236}">
              <a16:creationId xmlns:a16="http://schemas.microsoft.com/office/drawing/2014/main" id="{0479F05C-8187-439F-C3FC-65F0A16167C1}"/>
            </a:ext>
          </a:extLst>
        </xdr:cNvPr>
        <xdr:cNvSpPr/>
      </xdr:nvSpPr>
      <xdr:spPr>
        <a:xfrm>
          <a:off x="787741" y="3147697"/>
          <a:ext cx="386190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8BF24D3-679E-40FF-9725-80013581A4F7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65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45724</xdr:colOff>
      <xdr:row>14</xdr:row>
      <xdr:rowOff>97319</xdr:rowOff>
    </xdr:from>
    <xdr:to>
      <xdr:col>1</xdr:col>
      <xdr:colOff>191925</xdr:colOff>
      <xdr:row>15</xdr:row>
      <xdr:rowOff>59219</xdr:rowOff>
    </xdr:to>
    <xdr:sp macro="" textlink="">
      <xdr:nvSpPr>
        <xdr:cNvPr id="210" name="Retângulo 209">
          <a:extLst>
            <a:ext uri="{FF2B5EF4-FFF2-40B4-BE49-F238E27FC236}">
              <a16:creationId xmlns:a16="http://schemas.microsoft.com/office/drawing/2014/main" id="{33ABBA6D-F506-41C5-6C40-496E2DFA832C}"/>
            </a:ext>
          </a:extLst>
        </xdr:cNvPr>
        <xdr:cNvSpPr/>
      </xdr:nvSpPr>
      <xdr:spPr>
        <a:xfrm>
          <a:off x="45724" y="3317847"/>
          <a:ext cx="297163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2</a:t>
          </a:r>
        </a:p>
      </xdr:txBody>
    </xdr:sp>
    <xdr:clientData/>
  </xdr:twoCellAnchor>
  <xdr:twoCellAnchor>
    <xdr:from>
      <xdr:col>1</xdr:col>
      <xdr:colOff>215633</xdr:colOff>
      <xdr:row>14</xdr:row>
      <xdr:rowOff>97319</xdr:rowOff>
    </xdr:from>
    <xdr:to>
      <xdr:col>1</xdr:col>
      <xdr:colOff>611038</xdr:colOff>
      <xdr:row>15</xdr:row>
      <xdr:rowOff>59219</xdr:rowOff>
    </xdr:to>
    <xdr:sp macro="" textlink="$L$3">
      <xdr:nvSpPr>
        <xdr:cNvPr id="211" name="Retângulo 210">
          <a:extLst>
            <a:ext uri="{FF2B5EF4-FFF2-40B4-BE49-F238E27FC236}">
              <a16:creationId xmlns:a16="http://schemas.microsoft.com/office/drawing/2014/main" id="{8480D148-91D4-57FD-F675-837CC82E3CA8}"/>
            </a:ext>
          </a:extLst>
        </xdr:cNvPr>
        <xdr:cNvSpPr/>
      </xdr:nvSpPr>
      <xdr:spPr>
        <a:xfrm>
          <a:off x="366595" y="3317847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D052BB-0583-4B08-8F32-C6FD9B2A6C1E}" type="TxLink">
            <a:rPr lang="en-US" sz="800" b="1" i="0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</xdr:col>
      <xdr:colOff>633719</xdr:colOff>
      <xdr:row>14</xdr:row>
      <xdr:rowOff>96402</xdr:rowOff>
    </xdr:from>
    <xdr:to>
      <xdr:col>2</xdr:col>
      <xdr:colOff>35271</xdr:colOff>
      <xdr:row>15</xdr:row>
      <xdr:rowOff>58302</xdr:rowOff>
    </xdr:to>
    <xdr:sp macro="" textlink="$L$2">
      <xdr:nvSpPr>
        <xdr:cNvPr id="212" name="Retângulo 211">
          <a:extLst>
            <a:ext uri="{FF2B5EF4-FFF2-40B4-BE49-F238E27FC236}">
              <a16:creationId xmlns:a16="http://schemas.microsoft.com/office/drawing/2014/main" id="{26D5C423-1C2E-99E3-A50B-F47B1876E722}"/>
            </a:ext>
          </a:extLst>
        </xdr:cNvPr>
        <xdr:cNvSpPr/>
      </xdr:nvSpPr>
      <xdr:spPr>
        <a:xfrm>
          <a:off x="787740" y="3318689"/>
          <a:ext cx="38242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1017B14-3EDF-402F-99D1-2E184A950D31}" type="TxLink">
            <a:rPr lang="en-US" sz="800" b="1" i="0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116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0</xdr:col>
      <xdr:colOff>45724</xdr:colOff>
      <xdr:row>15</xdr:row>
      <xdr:rowOff>78269</xdr:rowOff>
    </xdr:from>
    <xdr:to>
      <xdr:col>1</xdr:col>
      <xdr:colOff>191925</xdr:colOff>
      <xdr:row>16</xdr:row>
      <xdr:rowOff>40169</xdr:rowOff>
    </xdr:to>
    <xdr:sp macro="" textlink="">
      <xdr:nvSpPr>
        <xdr:cNvPr id="213" name="Retângulo 212">
          <a:extLst>
            <a:ext uri="{FF2B5EF4-FFF2-40B4-BE49-F238E27FC236}">
              <a16:creationId xmlns:a16="http://schemas.microsoft.com/office/drawing/2014/main" id="{E7F7FAA2-0F2D-51B0-5231-B33F9C44868F}"/>
            </a:ext>
          </a:extLst>
        </xdr:cNvPr>
        <xdr:cNvSpPr/>
      </xdr:nvSpPr>
      <xdr:spPr>
        <a:xfrm>
          <a:off x="45724" y="3489297"/>
          <a:ext cx="297163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3</a:t>
          </a:r>
        </a:p>
      </xdr:txBody>
    </xdr:sp>
    <xdr:clientData/>
  </xdr:twoCellAnchor>
  <xdr:twoCellAnchor>
    <xdr:from>
      <xdr:col>1</xdr:col>
      <xdr:colOff>215633</xdr:colOff>
      <xdr:row>15</xdr:row>
      <xdr:rowOff>78269</xdr:rowOff>
    </xdr:from>
    <xdr:to>
      <xdr:col>1</xdr:col>
      <xdr:colOff>611038</xdr:colOff>
      <xdr:row>16</xdr:row>
      <xdr:rowOff>40169</xdr:rowOff>
    </xdr:to>
    <xdr:sp macro="" textlink="$M$3">
      <xdr:nvSpPr>
        <xdr:cNvPr id="214" name="Retângulo 213">
          <a:extLst>
            <a:ext uri="{FF2B5EF4-FFF2-40B4-BE49-F238E27FC236}">
              <a16:creationId xmlns:a16="http://schemas.microsoft.com/office/drawing/2014/main" id="{3A3713BE-D91B-AFE1-2C36-47E4AC772DCB}"/>
            </a:ext>
          </a:extLst>
        </xdr:cNvPr>
        <xdr:cNvSpPr/>
      </xdr:nvSpPr>
      <xdr:spPr>
        <a:xfrm>
          <a:off x="366595" y="3489297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D3DD7F4-6D82-4CBE-8C5E-4BA332213784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16</xdr:row>
      <xdr:rowOff>59219</xdr:rowOff>
    </xdr:from>
    <xdr:to>
      <xdr:col>1</xdr:col>
      <xdr:colOff>191925</xdr:colOff>
      <xdr:row>17</xdr:row>
      <xdr:rowOff>21119</xdr:rowOff>
    </xdr:to>
    <xdr:sp macro="" textlink="">
      <xdr:nvSpPr>
        <xdr:cNvPr id="216" name="Retângulo 215">
          <a:extLst>
            <a:ext uri="{FF2B5EF4-FFF2-40B4-BE49-F238E27FC236}">
              <a16:creationId xmlns:a16="http://schemas.microsoft.com/office/drawing/2014/main" id="{BCB0E66D-50BC-694B-27AB-D8113207E555}"/>
            </a:ext>
          </a:extLst>
        </xdr:cNvPr>
        <xdr:cNvSpPr/>
      </xdr:nvSpPr>
      <xdr:spPr>
        <a:xfrm>
          <a:off x="45724" y="3660747"/>
          <a:ext cx="297163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4</a:t>
          </a:r>
        </a:p>
      </xdr:txBody>
    </xdr:sp>
    <xdr:clientData/>
  </xdr:twoCellAnchor>
  <xdr:twoCellAnchor>
    <xdr:from>
      <xdr:col>1</xdr:col>
      <xdr:colOff>215633</xdr:colOff>
      <xdr:row>16</xdr:row>
      <xdr:rowOff>59219</xdr:rowOff>
    </xdr:from>
    <xdr:to>
      <xdr:col>1</xdr:col>
      <xdr:colOff>611038</xdr:colOff>
      <xdr:row>17</xdr:row>
      <xdr:rowOff>21119</xdr:rowOff>
    </xdr:to>
    <xdr:sp macro="" textlink="$N$3">
      <xdr:nvSpPr>
        <xdr:cNvPr id="217" name="Retângulo 216">
          <a:extLst>
            <a:ext uri="{FF2B5EF4-FFF2-40B4-BE49-F238E27FC236}">
              <a16:creationId xmlns:a16="http://schemas.microsoft.com/office/drawing/2014/main" id="{822E067A-D866-2D60-5494-4330E5031C1D}"/>
            </a:ext>
          </a:extLst>
        </xdr:cNvPr>
        <xdr:cNvSpPr/>
      </xdr:nvSpPr>
      <xdr:spPr>
        <a:xfrm>
          <a:off x="366595" y="3660747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4FCDA9F-939F-48B1-A34B-DE50AB153167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17</xdr:row>
      <xdr:rowOff>40169</xdr:rowOff>
    </xdr:from>
    <xdr:to>
      <xdr:col>1</xdr:col>
      <xdr:colOff>191925</xdr:colOff>
      <xdr:row>18</xdr:row>
      <xdr:rowOff>2069</xdr:rowOff>
    </xdr:to>
    <xdr:sp macro="" textlink="">
      <xdr:nvSpPr>
        <xdr:cNvPr id="219" name="Retângulo 218">
          <a:extLst>
            <a:ext uri="{FF2B5EF4-FFF2-40B4-BE49-F238E27FC236}">
              <a16:creationId xmlns:a16="http://schemas.microsoft.com/office/drawing/2014/main" id="{9CF2B50D-4818-0F25-AAB3-421FD4DE8AD4}"/>
            </a:ext>
          </a:extLst>
        </xdr:cNvPr>
        <xdr:cNvSpPr/>
      </xdr:nvSpPr>
      <xdr:spPr>
        <a:xfrm>
          <a:off x="45724" y="3832197"/>
          <a:ext cx="297163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</a:t>
          </a:r>
        </a:p>
      </xdr:txBody>
    </xdr:sp>
    <xdr:clientData/>
  </xdr:twoCellAnchor>
  <xdr:twoCellAnchor>
    <xdr:from>
      <xdr:col>1</xdr:col>
      <xdr:colOff>215633</xdr:colOff>
      <xdr:row>17</xdr:row>
      <xdr:rowOff>40169</xdr:rowOff>
    </xdr:from>
    <xdr:to>
      <xdr:col>1</xdr:col>
      <xdr:colOff>611038</xdr:colOff>
      <xdr:row>18</xdr:row>
      <xdr:rowOff>2069</xdr:rowOff>
    </xdr:to>
    <xdr:sp macro="" textlink="$O$3">
      <xdr:nvSpPr>
        <xdr:cNvPr id="220" name="Retângulo 219">
          <a:extLst>
            <a:ext uri="{FF2B5EF4-FFF2-40B4-BE49-F238E27FC236}">
              <a16:creationId xmlns:a16="http://schemas.microsoft.com/office/drawing/2014/main" id="{2E21237B-43D9-D5DB-0CA8-D4B2FA8B7EBD}"/>
            </a:ext>
          </a:extLst>
        </xdr:cNvPr>
        <xdr:cNvSpPr/>
      </xdr:nvSpPr>
      <xdr:spPr>
        <a:xfrm>
          <a:off x="366595" y="3832197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66F25CB-850C-4ADD-B7DC-0115A0ACC5F6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18</xdr:row>
      <xdr:rowOff>18318</xdr:rowOff>
    </xdr:from>
    <xdr:to>
      <xdr:col>1</xdr:col>
      <xdr:colOff>191925</xdr:colOff>
      <xdr:row>18</xdr:row>
      <xdr:rowOff>170718</xdr:rowOff>
    </xdr:to>
    <xdr:sp macro="" textlink="">
      <xdr:nvSpPr>
        <xdr:cNvPr id="222" name="Retângulo 221">
          <a:extLst>
            <a:ext uri="{FF2B5EF4-FFF2-40B4-BE49-F238E27FC236}">
              <a16:creationId xmlns:a16="http://schemas.microsoft.com/office/drawing/2014/main" id="{DA2FF5D2-8906-B01D-8030-8C4B96365DFB}"/>
            </a:ext>
          </a:extLst>
        </xdr:cNvPr>
        <xdr:cNvSpPr/>
      </xdr:nvSpPr>
      <xdr:spPr>
        <a:xfrm>
          <a:off x="45724" y="3999208"/>
          <a:ext cx="297480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</a:t>
          </a:r>
        </a:p>
      </xdr:txBody>
    </xdr:sp>
    <xdr:clientData/>
  </xdr:twoCellAnchor>
  <xdr:twoCellAnchor>
    <xdr:from>
      <xdr:col>1</xdr:col>
      <xdr:colOff>215633</xdr:colOff>
      <xdr:row>18</xdr:row>
      <xdr:rowOff>18318</xdr:rowOff>
    </xdr:from>
    <xdr:to>
      <xdr:col>1</xdr:col>
      <xdr:colOff>611038</xdr:colOff>
      <xdr:row>18</xdr:row>
      <xdr:rowOff>170718</xdr:rowOff>
    </xdr:to>
    <xdr:sp macro="" textlink="$P$3">
      <xdr:nvSpPr>
        <xdr:cNvPr id="223" name="Retângulo 222">
          <a:extLst>
            <a:ext uri="{FF2B5EF4-FFF2-40B4-BE49-F238E27FC236}">
              <a16:creationId xmlns:a16="http://schemas.microsoft.com/office/drawing/2014/main" id="{4EB1B7F2-0E24-90BF-6C11-0D380F438399}"/>
            </a:ext>
          </a:extLst>
        </xdr:cNvPr>
        <xdr:cNvSpPr/>
      </xdr:nvSpPr>
      <xdr:spPr>
        <a:xfrm>
          <a:off x="366912" y="3999208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A6918D3-AA67-4521-8355-7772346B9280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18</xdr:row>
      <xdr:rowOff>186967</xdr:rowOff>
    </xdr:from>
    <xdr:to>
      <xdr:col>1</xdr:col>
      <xdr:colOff>191925</xdr:colOff>
      <xdr:row>19</xdr:row>
      <xdr:rowOff>148867</xdr:rowOff>
    </xdr:to>
    <xdr:sp macro="" textlink="">
      <xdr:nvSpPr>
        <xdr:cNvPr id="225" name="Retângulo 224">
          <a:extLst>
            <a:ext uri="{FF2B5EF4-FFF2-40B4-BE49-F238E27FC236}">
              <a16:creationId xmlns:a16="http://schemas.microsoft.com/office/drawing/2014/main" id="{AF31207C-5736-5B43-9DD0-434BBFEED14A}"/>
            </a:ext>
          </a:extLst>
        </xdr:cNvPr>
        <xdr:cNvSpPr/>
      </xdr:nvSpPr>
      <xdr:spPr>
        <a:xfrm>
          <a:off x="45724" y="4167857"/>
          <a:ext cx="297480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</a:t>
          </a:r>
        </a:p>
      </xdr:txBody>
    </xdr:sp>
    <xdr:clientData/>
  </xdr:twoCellAnchor>
  <xdr:twoCellAnchor>
    <xdr:from>
      <xdr:col>1</xdr:col>
      <xdr:colOff>215633</xdr:colOff>
      <xdr:row>18</xdr:row>
      <xdr:rowOff>186967</xdr:rowOff>
    </xdr:from>
    <xdr:to>
      <xdr:col>1</xdr:col>
      <xdr:colOff>611038</xdr:colOff>
      <xdr:row>19</xdr:row>
      <xdr:rowOff>148867</xdr:rowOff>
    </xdr:to>
    <xdr:sp macro="" textlink="$Q$3">
      <xdr:nvSpPr>
        <xdr:cNvPr id="226" name="Retângulo 225">
          <a:extLst>
            <a:ext uri="{FF2B5EF4-FFF2-40B4-BE49-F238E27FC236}">
              <a16:creationId xmlns:a16="http://schemas.microsoft.com/office/drawing/2014/main" id="{3E28EDF5-4174-F9E1-608D-808DD6C2AAA4}"/>
            </a:ext>
          </a:extLst>
        </xdr:cNvPr>
        <xdr:cNvSpPr/>
      </xdr:nvSpPr>
      <xdr:spPr>
        <a:xfrm>
          <a:off x="366912" y="4167857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1E06F4D-795A-4D4B-9194-15FE3712A3EC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19</xdr:row>
      <xdr:rowOff>166238</xdr:rowOff>
    </xdr:from>
    <xdr:to>
      <xdr:col>1</xdr:col>
      <xdr:colOff>191925</xdr:colOff>
      <xdr:row>20</xdr:row>
      <xdr:rowOff>128138</xdr:rowOff>
    </xdr:to>
    <xdr:sp macro="" textlink="">
      <xdr:nvSpPr>
        <xdr:cNvPr id="228" name="Retângulo 227">
          <a:extLst>
            <a:ext uri="{FF2B5EF4-FFF2-40B4-BE49-F238E27FC236}">
              <a16:creationId xmlns:a16="http://schemas.microsoft.com/office/drawing/2014/main" id="{6C7EDA96-ADFF-DD39-B568-40342545524C}"/>
            </a:ext>
          </a:extLst>
        </xdr:cNvPr>
        <xdr:cNvSpPr/>
      </xdr:nvSpPr>
      <xdr:spPr>
        <a:xfrm>
          <a:off x="45724" y="4337628"/>
          <a:ext cx="297480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</a:t>
          </a:r>
        </a:p>
      </xdr:txBody>
    </xdr:sp>
    <xdr:clientData/>
  </xdr:twoCellAnchor>
  <xdr:twoCellAnchor>
    <xdr:from>
      <xdr:col>1</xdr:col>
      <xdr:colOff>215633</xdr:colOff>
      <xdr:row>19</xdr:row>
      <xdr:rowOff>166238</xdr:rowOff>
    </xdr:from>
    <xdr:to>
      <xdr:col>1</xdr:col>
      <xdr:colOff>611038</xdr:colOff>
      <xdr:row>20</xdr:row>
      <xdr:rowOff>128138</xdr:rowOff>
    </xdr:to>
    <xdr:sp macro="" textlink="$R$3">
      <xdr:nvSpPr>
        <xdr:cNvPr id="229" name="Retângulo 228">
          <a:extLst>
            <a:ext uri="{FF2B5EF4-FFF2-40B4-BE49-F238E27FC236}">
              <a16:creationId xmlns:a16="http://schemas.microsoft.com/office/drawing/2014/main" id="{CC0FF94D-66A9-99DA-F140-4E532D182FA5}"/>
            </a:ext>
          </a:extLst>
        </xdr:cNvPr>
        <xdr:cNvSpPr/>
      </xdr:nvSpPr>
      <xdr:spPr>
        <a:xfrm>
          <a:off x="366912" y="4337628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D94787E-1BDC-4AEB-A0BE-9A078634A0AE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20</xdr:row>
      <xdr:rowOff>145509</xdr:rowOff>
    </xdr:from>
    <xdr:to>
      <xdr:col>1</xdr:col>
      <xdr:colOff>191925</xdr:colOff>
      <xdr:row>21</xdr:row>
      <xdr:rowOff>107409</xdr:rowOff>
    </xdr:to>
    <xdr:sp macro="" textlink="">
      <xdr:nvSpPr>
        <xdr:cNvPr id="231" name="Retângulo 230">
          <a:extLst>
            <a:ext uri="{FF2B5EF4-FFF2-40B4-BE49-F238E27FC236}">
              <a16:creationId xmlns:a16="http://schemas.microsoft.com/office/drawing/2014/main" id="{BADF0FC4-9997-6451-2781-3EFE0E075E5C}"/>
            </a:ext>
          </a:extLst>
        </xdr:cNvPr>
        <xdr:cNvSpPr/>
      </xdr:nvSpPr>
      <xdr:spPr>
        <a:xfrm>
          <a:off x="45724" y="4507399"/>
          <a:ext cx="297480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</a:t>
          </a:r>
        </a:p>
      </xdr:txBody>
    </xdr:sp>
    <xdr:clientData/>
  </xdr:twoCellAnchor>
  <xdr:twoCellAnchor>
    <xdr:from>
      <xdr:col>1</xdr:col>
      <xdr:colOff>215633</xdr:colOff>
      <xdr:row>20</xdr:row>
      <xdr:rowOff>145509</xdr:rowOff>
    </xdr:from>
    <xdr:to>
      <xdr:col>1</xdr:col>
      <xdr:colOff>611038</xdr:colOff>
      <xdr:row>21</xdr:row>
      <xdr:rowOff>107409</xdr:rowOff>
    </xdr:to>
    <xdr:sp macro="" textlink="$S$3">
      <xdr:nvSpPr>
        <xdr:cNvPr id="232" name="Retângulo 231">
          <a:extLst>
            <a:ext uri="{FF2B5EF4-FFF2-40B4-BE49-F238E27FC236}">
              <a16:creationId xmlns:a16="http://schemas.microsoft.com/office/drawing/2014/main" id="{77923A7A-9CB7-7534-AD99-9618AAA4688F}"/>
            </a:ext>
          </a:extLst>
        </xdr:cNvPr>
        <xdr:cNvSpPr/>
      </xdr:nvSpPr>
      <xdr:spPr>
        <a:xfrm>
          <a:off x="366912" y="4507399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E54A644-7026-4351-9D36-EEF89C7A7FD9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21</xdr:row>
      <xdr:rowOff>121976</xdr:rowOff>
    </xdr:from>
    <xdr:to>
      <xdr:col>1</xdr:col>
      <xdr:colOff>191925</xdr:colOff>
      <xdr:row>22</xdr:row>
      <xdr:rowOff>83876</xdr:rowOff>
    </xdr:to>
    <xdr:sp macro="" textlink="">
      <xdr:nvSpPr>
        <xdr:cNvPr id="234" name="Retângulo 233">
          <a:extLst>
            <a:ext uri="{FF2B5EF4-FFF2-40B4-BE49-F238E27FC236}">
              <a16:creationId xmlns:a16="http://schemas.microsoft.com/office/drawing/2014/main" id="{1F987A95-D158-5EFE-DDE2-9C5026CE0831}"/>
            </a:ext>
          </a:extLst>
        </xdr:cNvPr>
        <xdr:cNvSpPr/>
      </xdr:nvSpPr>
      <xdr:spPr>
        <a:xfrm>
          <a:off x="45724" y="4674366"/>
          <a:ext cx="297480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10</a:t>
          </a:r>
        </a:p>
      </xdr:txBody>
    </xdr:sp>
    <xdr:clientData/>
  </xdr:twoCellAnchor>
  <xdr:twoCellAnchor>
    <xdr:from>
      <xdr:col>1</xdr:col>
      <xdr:colOff>215633</xdr:colOff>
      <xdr:row>21</xdr:row>
      <xdr:rowOff>121979</xdr:rowOff>
    </xdr:from>
    <xdr:to>
      <xdr:col>1</xdr:col>
      <xdr:colOff>611038</xdr:colOff>
      <xdr:row>22</xdr:row>
      <xdr:rowOff>83879</xdr:rowOff>
    </xdr:to>
    <xdr:sp macro="" textlink="$T$3">
      <xdr:nvSpPr>
        <xdr:cNvPr id="235" name="Retângulo 234">
          <a:extLst>
            <a:ext uri="{FF2B5EF4-FFF2-40B4-BE49-F238E27FC236}">
              <a16:creationId xmlns:a16="http://schemas.microsoft.com/office/drawing/2014/main" id="{C1C88364-EEB8-67AD-08C9-135C8D144766}"/>
            </a:ext>
          </a:extLst>
        </xdr:cNvPr>
        <xdr:cNvSpPr/>
      </xdr:nvSpPr>
      <xdr:spPr>
        <a:xfrm>
          <a:off x="366912" y="4674369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7E64512-6127-4C34-86A2-1041706FD3D1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22</xdr:row>
      <xdr:rowOff>101246</xdr:rowOff>
    </xdr:from>
    <xdr:to>
      <xdr:col>1</xdr:col>
      <xdr:colOff>191925</xdr:colOff>
      <xdr:row>23</xdr:row>
      <xdr:rowOff>63146</xdr:rowOff>
    </xdr:to>
    <xdr:sp macro="" textlink="">
      <xdr:nvSpPr>
        <xdr:cNvPr id="237" name="Retângulo 236">
          <a:extLst>
            <a:ext uri="{FF2B5EF4-FFF2-40B4-BE49-F238E27FC236}">
              <a16:creationId xmlns:a16="http://schemas.microsoft.com/office/drawing/2014/main" id="{500A027C-3361-D2E3-925A-773FEA3E6306}"/>
            </a:ext>
          </a:extLst>
        </xdr:cNvPr>
        <xdr:cNvSpPr/>
      </xdr:nvSpPr>
      <xdr:spPr>
        <a:xfrm>
          <a:off x="45724" y="4844136"/>
          <a:ext cx="297480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11</a:t>
          </a:r>
        </a:p>
      </xdr:txBody>
    </xdr:sp>
    <xdr:clientData/>
  </xdr:twoCellAnchor>
  <xdr:twoCellAnchor>
    <xdr:from>
      <xdr:col>1</xdr:col>
      <xdr:colOff>215633</xdr:colOff>
      <xdr:row>22</xdr:row>
      <xdr:rowOff>101250</xdr:rowOff>
    </xdr:from>
    <xdr:to>
      <xdr:col>1</xdr:col>
      <xdr:colOff>611038</xdr:colOff>
      <xdr:row>23</xdr:row>
      <xdr:rowOff>63150</xdr:rowOff>
    </xdr:to>
    <xdr:sp macro="" textlink="$U$3">
      <xdr:nvSpPr>
        <xdr:cNvPr id="238" name="Retângulo 237">
          <a:extLst>
            <a:ext uri="{FF2B5EF4-FFF2-40B4-BE49-F238E27FC236}">
              <a16:creationId xmlns:a16="http://schemas.microsoft.com/office/drawing/2014/main" id="{C0F88DC4-0525-AB09-65F3-DF7BA7995C5F}"/>
            </a:ext>
          </a:extLst>
        </xdr:cNvPr>
        <xdr:cNvSpPr/>
      </xdr:nvSpPr>
      <xdr:spPr>
        <a:xfrm>
          <a:off x="366912" y="4844140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2785920-82BB-43FE-B22C-839ED9ED1C0F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45724</xdr:colOff>
      <xdr:row>23</xdr:row>
      <xdr:rowOff>80516</xdr:rowOff>
    </xdr:from>
    <xdr:to>
      <xdr:col>1</xdr:col>
      <xdr:colOff>191925</xdr:colOff>
      <xdr:row>24</xdr:row>
      <xdr:rowOff>42416</xdr:rowOff>
    </xdr:to>
    <xdr:sp macro="" textlink="">
      <xdr:nvSpPr>
        <xdr:cNvPr id="240" name="Retângulo 239">
          <a:extLst>
            <a:ext uri="{FF2B5EF4-FFF2-40B4-BE49-F238E27FC236}">
              <a16:creationId xmlns:a16="http://schemas.microsoft.com/office/drawing/2014/main" id="{F2F11D2A-8E11-51C9-904F-B3E74C47B7CB}"/>
            </a:ext>
          </a:extLst>
        </xdr:cNvPr>
        <xdr:cNvSpPr/>
      </xdr:nvSpPr>
      <xdr:spPr>
        <a:xfrm>
          <a:off x="45724" y="5013906"/>
          <a:ext cx="297480" cy="152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12</a:t>
          </a:r>
        </a:p>
      </xdr:txBody>
    </xdr:sp>
    <xdr:clientData/>
  </xdr:twoCellAnchor>
  <xdr:twoCellAnchor>
    <xdr:from>
      <xdr:col>1</xdr:col>
      <xdr:colOff>215633</xdr:colOff>
      <xdr:row>23</xdr:row>
      <xdr:rowOff>80511</xdr:rowOff>
    </xdr:from>
    <xdr:to>
      <xdr:col>1</xdr:col>
      <xdr:colOff>611038</xdr:colOff>
      <xdr:row>24</xdr:row>
      <xdr:rowOff>42411</xdr:rowOff>
    </xdr:to>
    <xdr:sp macro="" textlink="$V$3">
      <xdr:nvSpPr>
        <xdr:cNvPr id="241" name="Retângulo 240">
          <a:extLst>
            <a:ext uri="{FF2B5EF4-FFF2-40B4-BE49-F238E27FC236}">
              <a16:creationId xmlns:a16="http://schemas.microsoft.com/office/drawing/2014/main" id="{93F3BB8B-BF5D-9ECE-DDD0-5B4DA8585411}"/>
            </a:ext>
          </a:extLst>
        </xdr:cNvPr>
        <xdr:cNvSpPr/>
      </xdr:nvSpPr>
      <xdr:spPr>
        <a:xfrm>
          <a:off x="366912" y="5013901"/>
          <a:ext cx="39540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D89453F-D163-40FC-8A53-19ADF412CE62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633094</xdr:colOff>
      <xdr:row>12</xdr:row>
      <xdr:rowOff>173902</xdr:rowOff>
    </xdr:from>
    <xdr:to>
      <xdr:col>2</xdr:col>
      <xdr:colOff>39539</xdr:colOff>
      <xdr:row>13</xdr:row>
      <xdr:rowOff>81968</xdr:rowOff>
    </xdr:to>
    <xdr:sp macro="" textlink="">
      <xdr:nvSpPr>
        <xdr:cNvPr id="297" name="Retângulo 296">
          <a:extLst>
            <a:ext uri="{FF2B5EF4-FFF2-40B4-BE49-F238E27FC236}">
              <a16:creationId xmlns:a16="http://schemas.microsoft.com/office/drawing/2014/main" id="{651F3D3E-0B2F-4B29-A9A5-A47CA6F642B1}"/>
            </a:ext>
          </a:extLst>
        </xdr:cNvPr>
        <xdr:cNvSpPr/>
      </xdr:nvSpPr>
      <xdr:spPr>
        <a:xfrm>
          <a:off x="784056" y="3013430"/>
          <a:ext cx="387700" cy="98566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 b="1" i="1"/>
            <a:t>Std</a:t>
          </a:r>
          <a:r>
            <a:rPr lang="pt-BR" sz="600" b="1"/>
            <a:t>.</a:t>
          </a:r>
        </a:p>
      </xdr:txBody>
    </xdr:sp>
    <xdr:clientData/>
  </xdr:twoCellAnchor>
  <xdr:twoCellAnchor>
    <xdr:from>
      <xdr:col>0</xdr:col>
      <xdr:colOff>42976</xdr:colOff>
      <xdr:row>12</xdr:row>
      <xdr:rowOff>170764</xdr:rowOff>
    </xdr:from>
    <xdr:to>
      <xdr:col>1</xdr:col>
      <xdr:colOff>201706</xdr:colOff>
      <xdr:row>13</xdr:row>
      <xdr:rowOff>81906</xdr:rowOff>
    </xdr:to>
    <xdr:sp macro="" textlink="">
      <xdr:nvSpPr>
        <xdr:cNvPr id="298" name="Retângulo 297">
          <a:extLst>
            <a:ext uri="{FF2B5EF4-FFF2-40B4-BE49-F238E27FC236}">
              <a16:creationId xmlns:a16="http://schemas.microsoft.com/office/drawing/2014/main" id="{58278C07-80C4-43C8-A53E-92C92EF26BCA}"/>
            </a:ext>
          </a:extLst>
        </xdr:cNvPr>
        <xdr:cNvSpPr/>
      </xdr:nvSpPr>
      <xdr:spPr>
        <a:xfrm>
          <a:off x="42976" y="3008654"/>
          <a:ext cx="310009" cy="101642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500" b="1" i="1"/>
            <a:t>SEM</a:t>
          </a:r>
        </a:p>
      </xdr:txBody>
    </xdr:sp>
    <xdr:clientData/>
  </xdr:twoCellAnchor>
  <xdr:twoCellAnchor>
    <xdr:from>
      <xdr:col>1</xdr:col>
      <xdr:colOff>222926</xdr:colOff>
      <xdr:row>12</xdr:row>
      <xdr:rowOff>170766</xdr:rowOff>
    </xdr:from>
    <xdr:to>
      <xdr:col>1</xdr:col>
      <xdr:colOff>602347</xdr:colOff>
      <xdr:row>13</xdr:row>
      <xdr:rowOff>81908</xdr:rowOff>
    </xdr:to>
    <xdr:sp macro="" textlink="">
      <xdr:nvSpPr>
        <xdr:cNvPr id="299" name="Retângulo 298">
          <a:extLst>
            <a:ext uri="{FF2B5EF4-FFF2-40B4-BE49-F238E27FC236}">
              <a16:creationId xmlns:a16="http://schemas.microsoft.com/office/drawing/2014/main" id="{E5115D9C-BC2C-42D8-9386-B8E50A54348E}"/>
            </a:ext>
          </a:extLst>
        </xdr:cNvPr>
        <xdr:cNvSpPr/>
      </xdr:nvSpPr>
      <xdr:spPr>
        <a:xfrm>
          <a:off x="376947" y="3012053"/>
          <a:ext cx="379421" cy="101642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 b="1" i="1"/>
            <a:t>Real</a:t>
          </a:r>
          <a:r>
            <a:rPr lang="pt-BR" sz="500" b="1"/>
            <a:t>           </a:t>
          </a:r>
        </a:p>
      </xdr:txBody>
    </xdr:sp>
    <xdr:clientData/>
  </xdr:twoCellAnchor>
  <xdr:twoCellAnchor>
    <xdr:from>
      <xdr:col>2</xdr:col>
      <xdr:colOff>68587</xdr:colOff>
      <xdr:row>13</xdr:row>
      <xdr:rowOff>112776</xdr:rowOff>
    </xdr:from>
    <xdr:to>
      <xdr:col>2</xdr:col>
      <xdr:colOff>362439</xdr:colOff>
      <xdr:row>14</xdr:row>
      <xdr:rowOff>74676</xdr:rowOff>
    </xdr:to>
    <xdr:sp macro="" textlink="$K$5">
      <xdr:nvSpPr>
        <xdr:cNvPr id="325" name="Retângulo 324">
          <a:extLst>
            <a:ext uri="{FF2B5EF4-FFF2-40B4-BE49-F238E27FC236}">
              <a16:creationId xmlns:a16="http://schemas.microsoft.com/office/drawing/2014/main" id="{11EC65BC-C2F9-25C6-AA32-3025F322040B}"/>
            </a:ext>
          </a:extLst>
        </xdr:cNvPr>
        <xdr:cNvSpPr/>
      </xdr:nvSpPr>
      <xdr:spPr>
        <a:xfrm>
          <a:off x="1200804" y="3142804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6A8A9E1-626F-4B58-ADC4-F9FC73A8DB78}" type="TxLink">
            <a:rPr lang="en-US" sz="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</xdr:col>
      <xdr:colOff>68587</xdr:colOff>
      <xdr:row>14</xdr:row>
      <xdr:rowOff>93726</xdr:rowOff>
    </xdr:from>
    <xdr:to>
      <xdr:col>2</xdr:col>
      <xdr:colOff>362439</xdr:colOff>
      <xdr:row>15</xdr:row>
      <xdr:rowOff>55626</xdr:rowOff>
    </xdr:to>
    <xdr:sp macro="" textlink="$L$5">
      <xdr:nvSpPr>
        <xdr:cNvPr id="326" name="Retângulo 325">
          <a:extLst>
            <a:ext uri="{FF2B5EF4-FFF2-40B4-BE49-F238E27FC236}">
              <a16:creationId xmlns:a16="http://schemas.microsoft.com/office/drawing/2014/main" id="{5989D644-C638-B4D5-0367-A5DD7F3C66EC}"/>
            </a:ext>
          </a:extLst>
        </xdr:cNvPr>
        <xdr:cNvSpPr/>
      </xdr:nvSpPr>
      <xdr:spPr>
        <a:xfrm>
          <a:off x="1200804" y="3314254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6F9C377-B953-4675-9C44-3DD3D00710A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15</xdr:row>
      <xdr:rowOff>74676</xdr:rowOff>
    </xdr:from>
    <xdr:to>
      <xdr:col>2</xdr:col>
      <xdr:colOff>362439</xdr:colOff>
      <xdr:row>16</xdr:row>
      <xdr:rowOff>36576</xdr:rowOff>
    </xdr:to>
    <xdr:sp macro="" textlink="$M$5">
      <xdr:nvSpPr>
        <xdr:cNvPr id="327" name="Retângulo 326">
          <a:extLst>
            <a:ext uri="{FF2B5EF4-FFF2-40B4-BE49-F238E27FC236}">
              <a16:creationId xmlns:a16="http://schemas.microsoft.com/office/drawing/2014/main" id="{BD3BE20A-A44C-E07E-F546-88B29760A898}"/>
            </a:ext>
          </a:extLst>
        </xdr:cNvPr>
        <xdr:cNvSpPr/>
      </xdr:nvSpPr>
      <xdr:spPr>
        <a:xfrm>
          <a:off x="1200804" y="3485704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9FF7CF3-0469-43FE-87B5-863B320B010C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16</xdr:row>
      <xdr:rowOff>55626</xdr:rowOff>
    </xdr:from>
    <xdr:to>
      <xdr:col>2</xdr:col>
      <xdr:colOff>362439</xdr:colOff>
      <xdr:row>17</xdr:row>
      <xdr:rowOff>17526</xdr:rowOff>
    </xdr:to>
    <xdr:sp macro="" textlink="$N$5">
      <xdr:nvSpPr>
        <xdr:cNvPr id="328" name="Retângulo 327">
          <a:extLst>
            <a:ext uri="{FF2B5EF4-FFF2-40B4-BE49-F238E27FC236}">
              <a16:creationId xmlns:a16="http://schemas.microsoft.com/office/drawing/2014/main" id="{5A8216B0-9F21-8352-5DEA-125262948DE0}"/>
            </a:ext>
          </a:extLst>
        </xdr:cNvPr>
        <xdr:cNvSpPr/>
      </xdr:nvSpPr>
      <xdr:spPr>
        <a:xfrm>
          <a:off x="1200804" y="3657154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C52C8AD-A640-48D9-B005-5DDFC1DCC8B8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17</xdr:row>
      <xdr:rowOff>36576</xdr:rowOff>
    </xdr:from>
    <xdr:to>
      <xdr:col>2</xdr:col>
      <xdr:colOff>362439</xdr:colOff>
      <xdr:row>17</xdr:row>
      <xdr:rowOff>188976</xdr:rowOff>
    </xdr:to>
    <xdr:sp macro="" textlink="$O$5">
      <xdr:nvSpPr>
        <xdr:cNvPr id="329" name="Retângulo 328">
          <a:extLst>
            <a:ext uri="{FF2B5EF4-FFF2-40B4-BE49-F238E27FC236}">
              <a16:creationId xmlns:a16="http://schemas.microsoft.com/office/drawing/2014/main" id="{6EF723CB-2AA1-3714-0681-6DAB4FC8C514}"/>
            </a:ext>
          </a:extLst>
        </xdr:cNvPr>
        <xdr:cNvSpPr/>
      </xdr:nvSpPr>
      <xdr:spPr>
        <a:xfrm>
          <a:off x="1200804" y="3828604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A1DABC8-B783-4A4C-A350-D1A7C1E8C329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18</xdr:row>
      <xdr:rowOff>17526</xdr:rowOff>
    </xdr:from>
    <xdr:to>
      <xdr:col>2</xdr:col>
      <xdr:colOff>362439</xdr:colOff>
      <xdr:row>18</xdr:row>
      <xdr:rowOff>169926</xdr:rowOff>
    </xdr:to>
    <xdr:sp macro="" textlink="$P$5">
      <xdr:nvSpPr>
        <xdr:cNvPr id="330" name="Retângulo 329">
          <a:extLst>
            <a:ext uri="{FF2B5EF4-FFF2-40B4-BE49-F238E27FC236}">
              <a16:creationId xmlns:a16="http://schemas.microsoft.com/office/drawing/2014/main" id="{02711978-80B4-8B7F-9E36-810B9E0A3C70}"/>
            </a:ext>
          </a:extLst>
        </xdr:cNvPr>
        <xdr:cNvSpPr/>
      </xdr:nvSpPr>
      <xdr:spPr>
        <a:xfrm>
          <a:off x="1200804" y="4000054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FCEE839-E428-43B8-9985-3620982F352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18</xdr:row>
      <xdr:rowOff>188976</xdr:rowOff>
    </xdr:from>
    <xdr:to>
      <xdr:col>2</xdr:col>
      <xdr:colOff>362439</xdr:colOff>
      <xdr:row>19</xdr:row>
      <xdr:rowOff>150876</xdr:rowOff>
    </xdr:to>
    <xdr:sp macro="" textlink="$Q$5">
      <xdr:nvSpPr>
        <xdr:cNvPr id="331" name="Retângulo 330">
          <a:extLst>
            <a:ext uri="{FF2B5EF4-FFF2-40B4-BE49-F238E27FC236}">
              <a16:creationId xmlns:a16="http://schemas.microsoft.com/office/drawing/2014/main" id="{20D35B5D-C7CC-F088-843E-48C366E84EBA}"/>
            </a:ext>
          </a:extLst>
        </xdr:cNvPr>
        <xdr:cNvSpPr/>
      </xdr:nvSpPr>
      <xdr:spPr>
        <a:xfrm>
          <a:off x="1200804" y="4171504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0093B4B-EF2B-4316-9433-586956B1E76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19</xdr:row>
      <xdr:rowOff>168247</xdr:rowOff>
    </xdr:from>
    <xdr:to>
      <xdr:col>2</xdr:col>
      <xdr:colOff>362439</xdr:colOff>
      <xdr:row>20</xdr:row>
      <xdr:rowOff>130147</xdr:rowOff>
    </xdr:to>
    <xdr:sp macro="" textlink="$R$5">
      <xdr:nvSpPr>
        <xdr:cNvPr id="332" name="Retângulo 331">
          <a:extLst>
            <a:ext uri="{FF2B5EF4-FFF2-40B4-BE49-F238E27FC236}">
              <a16:creationId xmlns:a16="http://schemas.microsoft.com/office/drawing/2014/main" id="{E9617D32-16A5-C177-74EB-09703044EBC8}"/>
            </a:ext>
          </a:extLst>
        </xdr:cNvPr>
        <xdr:cNvSpPr/>
      </xdr:nvSpPr>
      <xdr:spPr>
        <a:xfrm>
          <a:off x="1200381" y="4339637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67F2DF5-2142-4605-9B0F-24F128B3646C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20</xdr:row>
      <xdr:rowOff>144717</xdr:rowOff>
    </xdr:from>
    <xdr:to>
      <xdr:col>2</xdr:col>
      <xdr:colOff>362439</xdr:colOff>
      <xdr:row>21</xdr:row>
      <xdr:rowOff>106617</xdr:rowOff>
    </xdr:to>
    <xdr:sp macro="" textlink="$S$5">
      <xdr:nvSpPr>
        <xdr:cNvPr id="333" name="Retângulo 332">
          <a:extLst>
            <a:ext uri="{FF2B5EF4-FFF2-40B4-BE49-F238E27FC236}">
              <a16:creationId xmlns:a16="http://schemas.microsoft.com/office/drawing/2014/main" id="{77CF0E6B-0269-3836-596E-F05A8D9C1198}"/>
            </a:ext>
          </a:extLst>
        </xdr:cNvPr>
        <xdr:cNvSpPr/>
      </xdr:nvSpPr>
      <xdr:spPr>
        <a:xfrm>
          <a:off x="1200381" y="4506607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0F0393D-A452-4313-8DF2-8D886BF40869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21</xdr:row>
      <xdr:rowOff>123987</xdr:rowOff>
    </xdr:from>
    <xdr:to>
      <xdr:col>2</xdr:col>
      <xdr:colOff>362439</xdr:colOff>
      <xdr:row>22</xdr:row>
      <xdr:rowOff>85887</xdr:rowOff>
    </xdr:to>
    <xdr:sp macro="" textlink="$T$5">
      <xdr:nvSpPr>
        <xdr:cNvPr id="334" name="Retângulo 333">
          <a:extLst>
            <a:ext uri="{FF2B5EF4-FFF2-40B4-BE49-F238E27FC236}">
              <a16:creationId xmlns:a16="http://schemas.microsoft.com/office/drawing/2014/main" id="{32155D76-ACC3-80CB-2475-86249E3B05FF}"/>
            </a:ext>
          </a:extLst>
        </xdr:cNvPr>
        <xdr:cNvSpPr/>
      </xdr:nvSpPr>
      <xdr:spPr>
        <a:xfrm>
          <a:off x="1200381" y="4676377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1B0B81C-6B40-4E27-8059-71543F75BB36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22</xdr:row>
      <xdr:rowOff>102826</xdr:rowOff>
    </xdr:from>
    <xdr:to>
      <xdr:col>2</xdr:col>
      <xdr:colOff>362439</xdr:colOff>
      <xdr:row>23</xdr:row>
      <xdr:rowOff>64726</xdr:rowOff>
    </xdr:to>
    <xdr:sp macro="" textlink="$U$5">
      <xdr:nvSpPr>
        <xdr:cNvPr id="335" name="Retângulo 334">
          <a:extLst>
            <a:ext uri="{FF2B5EF4-FFF2-40B4-BE49-F238E27FC236}">
              <a16:creationId xmlns:a16="http://schemas.microsoft.com/office/drawing/2014/main" id="{B8A1033B-64BD-750A-C4D2-38245E150B4C}"/>
            </a:ext>
          </a:extLst>
        </xdr:cNvPr>
        <xdr:cNvSpPr/>
      </xdr:nvSpPr>
      <xdr:spPr>
        <a:xfrm>
          <a:off x="1200381" y="4845716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E80A424-BB2C-4A51-8A72-CBCB13F9D295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68587</xdr:colOff>
      <xdr:row>23</xdr:row>
      <xdr:rowOff>82520</xdr:rowOff>
    </xdr:from>
    <xdr:to>
      <xdr:col>2</xdr:col>
      <xdr:colOff>362439</xdr:colOff>
      <xdr:row>24</xdr:row>
      <xdr:rowOff>44420</xdr:rowOff>
    </xdr:to>
    <xdr:sp macro="" textlink="$V$5">
      <xdr:nvSpPr>
        <xdr:cNvPr id="336" name="Retângulo 335">
          <a:extLst>
            <a:ext uri="{FF2B5EF4-FFF2-40B4-BE49-F238E27FC236}">
              <a16:creationId xmlns:a16="http://schemas.microsoft.com/office/drawing/2014/main" id="{D6D6473F-8A70-8F7E-4DE1-5DBBDC7EBDA3}"/>
            </a:ext>
          </a:extLst>
        </xdr:cNvPr>
        <xdr:cNvSpPr/>
      </xdr:nvSpPr>
      <xdr:spPr>
        <a:xfrm>
          <a:off x="1200381" y="5015910"/>
          <a:ext cx="293852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38A2B89-9DD1-4B72-BC1F-0D23251D9895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620563</xdr:colOff>
      <xdr:row>9</xdr:row>
      <xdr:rowOff>129350</xdr:rowOff>
    </xdr:from>
    <xdr:to>
      <xdr:col>3</xdr:col>
      <xdr:colOff>369430</xdr:colOff>
      <xdr:row>12</xdr:row>
      <xdr:rowOff>110592</xdr:rowOff>
    </xdr:to>
    <xdr:grpSp>
      <xdr:nvGrpSpPr>
        <xdr:cNvPr id="323" name="Agrupar 322">
          <a:extLst>
            <a:ext uri="{FF2B5EF4-FFF2-40B4-BE49-F238E27FC236}">
              <a16:creationId xmlns:a16="http://schemas.microsoft.com/office/drawing/2014/main" id="{FA14EA9E-26CB-59C1-D49E-033892277631}"/>
            </a:ext>
          </a:extLst>
        </xdr:cNvPr>
        <xdr:cNvGrpSpPr/>
      </xdr:nvGrpSpPr>
      <xdr:grpSpPr>
        <a:xfrm>
          <a:off x="772963" y="2329625"/>
          <a:ext cx="1596717" cy="619417"/>
          <a:chOff x="379174" y="2282955"/>
          <a:chExt cx="1595518" cy="618432"/>
        </a:xfrm>
      </xdr:grpSpPr>
      <xdr:sp macro="" textlink="">
        <xdr:nvSpPr>
          <xdr:cNvPr id="198" name="Retângulo 197">
            <a:extLst>
              <a:ext uri="{FF2B5EF4-FFF2-40B4-BE49-F238E27FC236}">
                <a16:creationId xmlns:a16="http://schemas.microsoft.com/office/drawing/2014/main" id="{87DAC911-2611-C251-1CAD-059259BACD99}"/>
              </a:ext>
            </a:extLst>
          </xdr:cNvPr>
          <xdr:cNvSpPr/>
        </xdr:nvSpPr>
        <xdr:spPr>
          <a:xfrm>
            <a:off x="379174" y="2412153"/>
            <a:ext cx="601030" cy="144889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Matriz</a:t>
            </a:r>
            <a:r>
              <a:rPr lang="pt-BR" sz="800" b="1" baseline="0"/>
              <a:t> A</a:t>
            </a:r>
            <a:endParaRPr lang="pt-BR" sz="800" b="1"/>
          </a:p>
        </xdr:txBody>
      </xdr:sp>
      <xdr:sp macro="" textlink="$H$3">
        <xdr:nvSpPr>
          <xdr:cNvPr id="199" name="Retângulo 198">
            <a:extLst>
              <a:ext uri="{FF2B5EF4-FFF2-40B4-BE49-F238E27FC236}">
                <a16:creationId xmlns:a16="http://schemas.microsoft.com/office/drawing/2014/main" id="{A4790778-7D4C-8269-2823-30E64E8E9FF8}"/>
              </a:ext>
            </a:extLst>
          </xdr:cNvPr>
          <xdr:cNvSpPr/>
        </xdr:nvSpPr>
        <xdr:spPr>
          <a:xfrm>
            <a:off x="1009622" y="2410616"/>
            <a:ext cx="290322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39D4BCD3-9235-4542-86C6-CDEEDB037E16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288" name="Retângulo 287">
            <a:extLst>
              <a:ext uri="{FF2B5EF4-FFF2-40B4-BE49-F238E27FC236}">
                <a16:creationId xmlns:a16="http://schemas.microsoft.com/office/drawing/2014/main" id="{36F6B656-5AE0-F43B-4466-031B54487D44}"/>
              </a:ext>
            </a:extLst>
          </xdr:cNvPr>
          <xdr:cNvSpPr/>
        </xdr:nvSpPr>
        <xdr:spPr>
          <a:xfrm>
            <a:off x="379174" y="2576377"/>
            <a:ext cx="601030" cy="144889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Matriz</a:t>
            </a:r>
            <a:r>
              <a:rPr lang="pt-BR" sz="800" b="1" baseline="0"/>
              <a:t> B</a:t>
            </a:r>
            <a:endParaRPr lang="pt-BR" sz="800" b="1"/>
          </a:p>
        </xdr:txBody>
      </xdr:sp>
      <xdr:sp macro="" textlink="">
        <xdr:nvSpPr>
          <xdr:cNvPr id="289" name="Retângulo 288">
            <a:extLst>
              <a:ext uri="{FF2B5EF4-FFF2-40B4-BE49-F238E27FC236}">
                <a16:creationId xmlns:a16="http://schemas.microsoft.com/office/drawing/2014/main" id="{6CA176D2-B093-F9CC-69FE-D4697B652B3B}"/>
              </a:ext>
            </a:extLst>
          </xdr:cNvPr>
          <xdr:cNvSpPr/>
        </xdr:nvSpPr>
        <xdr:spPr>
          <a:xfrm>
            <a:off x="379174" y="2747170"/>
            <a:ext cx="601030" cy="144889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Matriz</a:t>
            </a:r>
            <a:r>
              <a:rPr lang="pt-BR" sz="800" b="1" baseline="0"/>
              <a:t> C</a:t>
            </a:r>
            <a:endParaRPr lang="pt-BR" sz="800" b="1"/>
          </a:p>
        </xdr:txBody>
      </xdr:sp>
      <xdr:sp macro="" textlink="">
        <xdr:nvSpPr>
          <xdr:cNvPr id="304" name="Retângulo 303">
            <a:extLst>
              <a:ext uri="{FF2B5EF4-FFF2-40B4-BE49-F238E27FC236}">
                <a16:creationId xmlns:a16="http://schemas.microsoft.com/office/drawing/2014/main" id="{C4E46ACB-0EBB-DF3E-800E-FC1DEE990D4A}"/>
              </a:ext>
            </a:extLst>
          </xdr:cNvPr>
          <xdr:cNvSpPr/>
        </xdr:nvSpPr>
        <xdr:spPr>
          <a:xfrm>
            <a:off x="386171" y="2282955"/>
            <a:ext cx="694171" cy="102481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800" b="1" i="1"/>
              <a:t>Chegada</a:t>
            </a:r>
          </a:p>
        </xdr:txBody>
      </xdr:sp>
      <xdr:sp macro="" textlink="$H$2">
        <xdr:nvSpPr>
          <xdr:cNvPr id="309" name="Retângulo 308">
            <a:extLst>
              <a:ext uri="{FF2B5EF4-FFF2-40B4-BE49-F238E27FC236}">
                <a16:creationId xmlns:a16="http://schemas.microsoft.com/office/drawing/2014/main" id="{7950EA4F-4877-786D-2BD1-C7AD73799E3F}"/>
              </a:ext>
            </a:extLst>
          </xdr:cNvPr>
          <xdr:cNvSpPr/>
        </xdr:nvSpPr>
        <xdr:spPr>
          <a:xfrm>
            <a:off x="1356100" y="2410616"/>
            <a:ext cx="292419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F1684986-34A0-4655-B97D-344650137B78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35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I$3">
        <xdr:nvSpPr>
          <xdr:cNvPr id="310" name="Retângulo 309">
            <a:extLst>
              <a:ext uri="{FF2B5EF4-FFF2-40B4-BE49-F238E27FC236}">
                <a16:creationId xmlns:a16="http://schemas.microsoft.com/office/drawing/2014/main" id="{0B330DDC-2A6D-B6EE-0866-317029DB36B7}"/>
              </a:ext>
            </a:extLst>
          </xdr:cNvPr>
          <xdr:cNvSpPr/>
        </xdr:nvSpPr>
        <xdr:spPr>
          <a:xfrm>
            <a:off x="1009622" y="2580850"/>
            <a:ext cx="290322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5123963-2566-43D0-8B7D-CBAA3CBDB1C5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I$2">
        <xdr:nvSpPr>
          <xdr:cNvPr id="311" name="Retângulo 310">
            <a:extLst>
              <a:ext uri="{FF2B5EF4-FFF2-40B4-BE49-F238E27FC236}">
                <a16:creationId xmlns:a16="http://schemas.microsoft.com/office/drawing/2014/main" id="{8F860B00-1C7E-4B22-DAA8-ECE0097B79C6}"/>
              </a:ext>
            </a:extLst>
          </xdr:cNvPr>
          <xdr:cNvSpPr/>
        </xdr:nvSpPr>
        <xdr:spPr>
          <a:xfrm>
            <a:off x="1356100" y="2580850"/>
            <a:ext cx="292419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DEBDED9-D2D9-4311-8DA2-38321AE6DF0F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35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J$3">
        <xdr:nvSpPr>
          <xdr:cNvPr id="312" name="Retângulo 311">
            <a:extLst>
              <a:ext uri="{FF2B5EF4-FFF2-40B4-BE49-F238E27FC236}">
                <a16:creationId xmlns:a16="http://schemas.microsoft.com/office/drawing/2014/main" id="{E446054B-624C-F632-AA78-3BA354E09BF8}"/>
              </a:ext>
            </a:extLst>
          </xdr:cNvPr>
          <xdr:cNvSpPr/>
        </xdr:nvSpPr>
        <xdr:spPr>
          <a:xfrm>
            <a:off x="1009622" y="2751084"/>
            <a:ext cx="290322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8AF6698-7A43-4418-953A-6D3CD1C1E370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J$2">
        <xdr:nvSpPr>
          <xdr:cNvPr id="313" name="Retângulo 312">
            <a:extLst>
              <a:ext uri="{FF2B5EF4-FFF2-40B4-BE49-F238E27FC236}">
                <a16:creationId xmlns:a16="http://schemas.microsoft.com/office/drawing/2014/main" id="{18BF59AC-34B3-9B3D-83F9-11DAE0D3E34E}"/>
              </a:ext>
            </a:extLst>
          </xdr:cNvPr>
          <xdr:cNvSpPr/>
        </xdr:nvSpPr>
        <xdr:spPr>
          <a:xfrm>
            <a:off x="1356100" y="2751084"/>
            <a:ext cx="292419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9D914FF-DB87-4FEC-BB97-511663345BB7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35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H$5">
        <xdr:nvSpPr>
          <xdr:cNvPr id="479" name="Retângulo 478">
            <a:extLst>
              <a:ext uri="{FF2B5EF4-FFF2-40B4-BE49-F238E27FC236}">
                <a16:creationId xmlns:a16="http://schemas.microsoft.com/office/drawing/2014/main" id="{9063503E-8C20-8237-7DCA-D132A330B1F2}"/>
              </a:ext>
            </a:extLst>
          </xdr:cNvPr>
          <xdr:cNvSpPr/>
        </xdr:nvSpPr>
        <xdr:spPr>
          <a:xfrm>
            <a:off x="1682272" y="2406558"/>
            <a:ext cx="292419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DE13E22-6062-468E-B1EA-16F03B5BC35F}" type="TxLink">
              <a:rPr lang="en-US" sz="5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 </a:t>
            </a:fld>
            <a:endParaRPr lang="pt-BR" sz="1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I$5">
        <xdr:nvSpPr>
          <xdr:cNvPr id="480" name="Retângulo 479">
            <a:extLst>
              <a:ext uri="{FF2B5EF4-FFF2-40B4-BE49-F238E27FC236}">
                <a16:creationId xmlns:a16="http://schemas.microsoft.com/office/drawing/2014/main" id="{56563D19-F605-0557-92CE-92666405E9DA}"/>
              </a:ext>
            </a:extLst>
          </xdr:cNvPr>
          <xdr:cNvSpPr/>
        </xdr:nvSpPr>
        <xdr:spPr>
          <a:xfrm>
            <a:off x="1682273" y="2576792"/>
            <a:ext cx="292419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9112211-AC0B-4032-9EE0-22BA1ED5428F}" type="TxLink">
              <a:rPr lang="en-US" sz="5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 </a:t>
            </a:fld>
            <a:endParaRPr lang="pt-BR" sz="1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J$5">
        <xdr:nvSpPr>
          <xdr:cNvPr id="481" name="Retângulo 480">
            <a:extLst>
              <a:ext uri="{FF2B5EF4-FFF2-40B4-BE49-F238E27FC236}">
                <a16:creationId xmlns:a16="http://schemas.microsoft.com/office/drawing/2014/main" id="{7086F471-FEEB-883D-71AA-8D1939281A8F}"/>
              </a:ext>
            </a:extLst>
          </xdr:cNvPr>
          <xdr:cNvSpPr/>
        </xdr:nvSpPr>
        <xdr:spPr>
          <a:xfrm>
            <a:off x="1682273" y="2747026"/>
            <a:ext cx="292419" cy="15030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244D43A-423F-4AF0-9DC3-19AA5A6C26B9}" type="TxLink">
              <a:rPr lang="en-US" sz="5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 </a:t>
            </a:fld>
            <a:endParaRPr lang="pt-BR" sz="1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</xdr:grpSp>
    <xdr:clientData/>
  </xdr:twoCellAnchor>
  <xdr:twoCellAnchor>
    <xdr:from>
      <xdr:col>2</xdr:col>
      <xdr:colOff>402789</xdr:colOff>
      <xdr:row>13</xdr:row>
      <xdr:rowOff>113504</xdr:rowOff>
    </xdr:from>
    <xdr:to>
      <xdr:col>3</xdr:col>
      <xdr:colOff>993903</xdr:colOff>
      <xdr:row>24</xdr:row>
      <xdr:rowOff>38991</xdr:rowOff>
    </xdr:to>
    <xdr:grpSp>
      <xdr:nvGrpSpPr>
        <xdr:cNvPr id="404" name="Agrupar 403">
          <a:extLst>
            <a:ext uri="{FF2B5EF4-FFF2-40B4-BE49-F238E27FC236}">
              <a16:creationId xmlns:a16="http://schemas.microsoft.com/office/drawing/2014/main" id="{435984AB-560A-A130-5CE8-5ACABCFC1D7D}"/>
            </a:ext>
          </a:extLst>
        </xdr:cNvPr>
        <xdr:cNvGrpSpPr/>
      </xdr:nvGrpSpPr>
      <xdr:grpSpPr>
        <a:xfrm>
          <a:off x="1536264" y="3142454"/>
          <a:ext cx="1457889" cy="2020987"/>
          <a:chOff x="1318479" y="3059397"/>
          <a:chExt cx="1456420" cy="2020987"/>
        </a:xfrm>
      </xdr:grpSpPr>
      <xdr:sp macro="" textlink="">
        <xdr:nvSpPr>
          <xdr:cNvPr id="243" name="Retângulo 242">
            <a:extLst>
              <a:ext uri="{FF2B5EF4-FFF2-40B4-BE49-F238E27FC236}">
                <a16:creationId xmlns:a16="http://schemas.microsoft.com/office/drawing/2014/main" id="{3DAD6057-DA84-0928-555C-6D25A245A860}"/>
              </a:ext>
            </a:extLst>
          </xdr:cNvPr>
          <xdr:cNvSpPr/>
        </xdr:nvSpPr>
        <xdr:spPr>
          <a:xfrm>
            <a:off x="1319269" y="3059893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13</a:t>
            </a:r>
          </a:p>
        </xdr:txBody>
      </xdr:sp>
      <xdr:sp macro="" textlink="$W$3">
        <xdr:nvSpPr>
          <xdr:cNvPr id="244" name="Retângulo 243">
            <a:extLst>
              <a:ext uri="{FF2B5EF4-FFF2-40B4-BE49-F238E27FC236}">
                <a16:creationId xmlns:a16="http://schemas.microsoft.com/office/drawing/2014/main" id="{5C5F7B50-994B-226B-56DB-995BA82BC733}"/>
              </a:ext>
            </a:extLst>
          </xdr:cNvPr>
          <xdr:cNvSpPr/>
        </xdr:nvSpPr>
        <xdr:spPr>
          <a:xfrm>
            <a:off x="1640459" y="3060984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F393D5E-4719-4206-AA8A-E45B4C23D09F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W$2">
        <xdr:nvSpPr>
          <xdr:cNvPr id="245" name="Retângulo 244">
            <a:extLst>
              <a:ext uri="{FF2B5EF4-FFF2-40B4-BE49-F238E27FC236}">
                <a16:creationId xmlns:a16="http://schemas.microsoft.com/office/drawing/2014/main" id="{16698A3C-6977-4912-80DE-6519F92F402F}"/>
              </a:ext>
            </a:extLst>
          </xdr:cNvPr>
          <xdr:cNvSpPr/>
        </xdr:nvSpPr>
        <xdr:spPr>
          <a:xfrm>
            <a:off x="2064090" y="3060984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158EC20-3E6A-43CB-B1D8-89B84D1FDC73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967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6" name="Retângulo 245">
            <a:extLst>
              <a:ext uri="{FF2B5EF4-FFF2-40B4-BE49-F238E27FC236}">
                <a16:creationId xmlns:a16="http://schemas.microsoft.com/office/drawing/2014/main" id="{1D5A286A-FBAA-C753-5312-0FE72A1F54FD}"/>
              </a:ext>
            </a:extLst>
          </xdr:cNvPr>
          <xdr:cNvSpPr/>
        </xdr:nvSpPr>
        <xdr:spPr>
          <a:xfrm>
            <a:off x="1319270" y="3228542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14</a:t>
            </a:r>
          </a:p>
        </xdr:txBody>
      </xdr:sp>
      <xdr:sp macro="" textlink="$X$3">
        <xdr:nvSpPr>
          <xdr:cNvPr id="247" name="Retângulo 246">
            <a:extLst>
              <a:ext uri="{FF2B5EF4-FFF2-40B4-BE49-F238E27FC236}">
                <a16:creationId xmlns:a16="http://schemas.microsoft.com/office/drawing/2014/main" id="{79CAC72D-F85E-1BBF-5840-20596D2F7EB6}"/>
              </a:ext>
            </a:extLst>
          </xdr:cNvPr>
          <xdr:cNvSpPr/>
        </xdr:nvSpPr>
        <xdr:spPr>
          <a:xfrm>
            <a:off x="1643259" y="3229633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B161FBF-FB48-4162-A34D-58940504B5D6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X$2">
        <xdr:nvSpPr>
          <xdr:cNvPr id="248" name="Retângulo 247">
            <a:extLst>
              <a:ext uri="{FF2B5EF4-FFF2-40B4-BE49-F238E27FC236}">
                <a16:creationId xmlns:a16="http://schemas.microsoft.com/office/drawing/2014/main" id="{5836B083-7B93-65B4-BA4F-20F7C0DDD37C}"/>
              </a:ext>
            </a:extLst>
          </xdr:cNvPr>
          <xdr:cNvSpPr/>
        </xdr:nvSpPr>
        <xdr:spPr>
          <a:xfrm>
            <a:off x="2066891" y="3229633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FF4CE023-E80F-4525-B798-B64FED5B1446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1035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9" name="Retângulo 248">
            <a:extLst>
              <a:ext uri="{FF2B5EF4-FFF2-40B4-BE49-F238E27FC236}">
                <a16:creationId xmlns:a16="http://schemas.microsoft.com/office/drawing/2014/main" id="{73A877DE-4417-D5A6-7007-A541728FDC15}"/>
              </a:ext>
            </a:extLst>
          </xdr:cNvPr>
          <xdr:cNvSpPr/>
        </xdr:nvSpPr>
        <xdr:spPr>
          <a:xfrm>
            <a:off x="1319270" y="3397191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15</a:t>
            </a:r>
          </a:p>
        </xdr:txBody>
      </xdr:sp>
      <xdr:sp macro="" textlink="$Y$3">
        <xdr:nvSpPr>
          <xdr:cNvPr id="250" name="Retângulo 249">
            <a:extLst>
              <a:ext uri="{FF2B5EF4-FFF2-40B4-BE49-F238E27FC236}">
                <a16:creationId xmlns:a16="http://schemas.microsoft.com/office/drawing/2014/main" id="{4EA81DCE-608E-84A5-10D4-2B56F4F3F0B2}"/>
              </a:ext>
            </a:extLst>
          </xdr:cNvPr>
          <xdr:cNvSpPr/>
        </xdr:nvSpPr>
        <xdr:spPr>
          <a:xfrm>
            <a:off x="1643259" y="3401083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6A156F4-05B3-46C0-AC79-59CAB339B256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Y$2">
        <xdr:nvSpPr>
          <xdr:cNvPr id="251" name="Retângulo 250">
            <a:extLst>
              <a:ext uri="{FF2B5EF4-FFF2-40B4-BE49-F238E27FC236}">
                <a16:creationId xmlns:a16="http://schemas.microsoft.com/office/drawing/2014/main" id="{70FB24BD-0973-0DFA-5239-00DCEA274463}"/>
              </a:ext>
            </a:extLst>
          </xdr:cNvPr>
          <xdr:cNvSpPr/>
        </xdr:nvSpPr>
        <xdr:spPr>
          <a:xfrm>
            <a:off x="2066891" y="3401083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710F05D-195C-4F18-ABE1-0CBE9211F765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1101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2" name="Retângulo 251">
            <a:extLst>
              <a:ext uri="{FF2B5EF4-FFF2-40B4-BE49-F238E27FC236}">
                <a16:creationId xmlns:a16="http://schemas.microsoft.com/office/drawing/2014/main" id="{F7284150-BD6A-EB18-52B3-CACD5251CE47}"/>
              </a:ext>
            </a:extLst>
          </xdr:cNvPr>
          <xdr:cNvSpPr/>
        </xdr:nvSpPr>
        <xdr:spPr>
          <a:xfrm>
            <a:off x="1319270" y="3565840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16</a:t>
            </a:r>
          </a:p>
        </xdr:txBody>
      </xdr:sp>
      <xdr:sp macro="" textlink="$Z$3">
        <xdr:nvSpPr>
          <xdr:cNvPr id="253" name="Retângulo 252">
            <a:extLst>
              <a:ext uri="{FF2B5EF4-FFF2-40B4-BE49-F238E27FC236}">
                <a16:creationId xmlns:a16="http://schemas.microsoft.com/office/drawing/2014/main" id="{0C7B4F63-A2BD-2620-8A47-ECBB0F89CB53}"/>
              </a:ext>
            </a:extLst>
          </xdr:cNvPr>
          <xdr:cNvSpPr/>
        </xdr:nvSpPr>
        <xdr:spPr>
          <a:xfrm>
            <a:off x="1643259" y="3569732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CE5850E8-50BF-4A1E-ACB6-94DA79433733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Z$2">
        <xdr:nvSpPr>
          <xdr:cNvPr id="254" name="Retângulo 253">
            <a:extLst>
              <a:ext uri="{FF2B5EF4-FFF2-40B4-BE49-F238E27FC236}">
                <a16:creationId xmlns:a16="http://schemas.microsoft.com/office/drawing/2014/main" id="{C74A8494-B557-5F7F-FECA-D0553979D1E9}"/>
              </a:ext>
            </a:extLst>
          </xdr:cNvPr>
          <xdr:cNvSpPr/>
        </xdr:nvSpPr>
        <xdr:spPr>
          <a:xfrm>
            <a:off x="2066891" y="3569732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FCE9905-E352-42EB-A90A-F9BE4602B8C5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1168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5" name="Retângulo 254">
            <a:extLst>
              <a:ext uri="{FF2B5EF4-FFF2-40B4-BE49-F238E27FC236}">
                <a16:creationId xmlns:a16="http://schemas.microsoft.com/office/drawing/2014/main" id="{A12BBFA3-49BE-6814-C8A3-526C2DDE9DC1}"/>
              </a:ext>
            </a:extLst>
          </xdr:cNvPr>
          <xdr:cNvSpPr/>
        </xdr:nvSpPr>
        <xdr:spPr>
          <a:xfrm>
            <a:off x="1319270" y="3737290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17</a:t>
            </a:r>
          </a:p>
        </xdr:txBody>
      </xdr:sp>
      <xdr:sp macro="" textlink="$AA$3">
        <xdr:nvSpPr>
          <xdr:cNvPr id="256" name="Retângulo 255">
            <a:extLst>
              <a:ext uri="{FF2B5EF4-FFF2-40B4-BE49-F238E27FC236}">
                <a16:creationId xmlns:a16="http://schemas.microsoft.com/office/drawing/2014/main" id="{8AFC6938-ED3C-4B0C-FB14-D2ACA477AAE4}"/>
              </a:ext>
            </a:extLst>
          </xdr:cNvPr>
          <xdr:cNvSpPr/>
        </xdr:nvSpPr>
        <xdr:spPr>
          <a:xfrm>
            <a:off x="1643259" y="3738381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30ABDFD-481D-4FC6-B31B-8CD8476FB016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AA$2">
        <xdr:nvSpPr>
          <xdr:cNvPr id="257" name="Retângulo 256">
            <a:extLst>
              <a:ext uri="{FF2B5EF4-FFF2-40B4-BE49-F238E27FC236}">
                <a16:creationId xmlns:a16="http://schemas.microsoft.com/office/drawing/2014/main" id="{B50942CD-9633-246C-1166-C85EAAEABF22}"/>
              </a:ext>
            </a:extLst>
          </xdr:cNvPr>
          <xdr:cNvSpPr/>
        </xdr:nvSpPr>
        <xdr:spPr>
          <a:xfrm>
            <a:off x="2066891" y="3738381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9806A9E-04FF-42AF-8C14-5DC7D06AC69C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1235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8" name="Retângulo 257">
            <a:extLst>
              <a:ext uri="{FF2B5EF4-FFF2-40B4-BE49-F238E27FC236}">
                <a16:creationId xmlns:a16="http://schemas.microsoft.com/office/drawing/2014/main" id="{684F4718-B3CC-7285-226D-8F009E89E854}"/>
              </a:ext>
            </a:extLst>
          </xdr:cNvPr>
          <xdr:cNvSpPr/>
        </xdr:nvSpPr>
        <xdr:spPr>
          <a:xfrm>
            <a:off x="1319270" y="3905939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18</a:t>
            </a:r>
          </a:p>
        </xdr:txBody>
      </xdr:sp>
      <xdr:sp macro="" textlink="$AB$3">
        <xdr:nvSpPr>
          <xdr:cNvPr id="259" name="Retângulo 258">
            <a:extLst>
              <a:ext uri="{FF2B5EF4-FFF2-40B4-BE49-F238E27FC236}">
                <a16:creationId xmlns:a16="http://schemas.microsoft.com/office/drawing/2014/main" id="{C30BE49B-DDD2-AF4B-67CB-F769002430C0}"/>
              </a:ext>
            </a:extLst>
          </xdr:cNvPr>
          <xdr:cNvSpPr/>
        </xdr:nvSpPr>
        <xdr:spPr>
          <a:xfrm>
            <a:off x="1643259" y="3907030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9542AA7-1D31-4368-82B0-86495AA188FF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AB$2">
        <xdr:nvSpPr>
          <xdr:cNvPr id="260" name="Retângulo 259">
            <a:extLst>
              <a:ext uri="{FF2B5EF4-FFF2-40B4-BE49-F238E27FC236}">
                <a16:creationId xmlns:a16="http://schemas.microsoft.com/office/drawing/2014/main" id="{21ECE85F-0EB6-94D4-DCB1-A5012C621CBF}"/>
              </a:ext>
            </a:extLst>
          </xdr:cNvPr>
          <xdr:cNvSpPr/>
        </xdr:nvSpPr>
        <xdr:spPr>
          <a:xfrm>
            <a:off x="2066891" y="3907030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9DA26F1-738F-486E-88F6-B2614AB9212B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1300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1" name="Retângulo 260">
            <a:extLst>
              <a:ext uri="{FF2B5EF4-FFF2-40B4-BE49-F238E27FC236}">
                <a16:creationId xmlns:a16="http://schemas.microsoft.com/office/drawing/2014/main" id="{4471C7C6-6879-69DF-4420-64ECF7B83661}"/>
              </a:ext>
            </a:extLst>
          </xdr:cNvPr>
          <xdr:cNvSpPr/>
        </xdr:nvSpPr>
        <xdr:spPr>
          <a:xfrm>
            <a:off x="1319270" y="4074588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19</a:t>
            </a:r>
          </a:p>
        </xdr:txBody>
      </xdr:sp>
      <xdr:sp macro="" textlink="$AC$3">
        <xdr:nvSpPr>
          <xdr:cNvPr id="262" name="Retângulo 261">
            <a:extLst>
              <a:ext uri="{FF2B5EF4-FFF2-40B4-BE49-F238E27FC236}">
                <a16:creationId xmlns:a16="http://schemas.microsoft.com/office/drawing/2014/main" id="{CF1B9683-33F0-D047-C67F-1A9465BC703F}"/>
              </a:ext>
            </a:extLst>
          </xdr:cNvPr>
          <xdr:cNvSpPr/>
        </xdr:nvSpPr>
        <xdr:spPr>
          <a:xfrm>
            <a:off x="1643259" y="4075679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C093538-8C6B-416F-A6C8-60D50B0B1E68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AC$2">
        <xdr:nvSpPr>
          <xdr:cNvPr id="263" name="Retângulo 262">
            <a:extLst>
              <a:ext uri="{FF2B5EF4-FFF2-40B4-BE49-F238E27FC236}">
                <a16:creationId xmlns:a16="http://schemas.microsoft.com/office/drawing/2014/main" id="{C1FFE92F-2C7C-FCF2-B171-C5C8A2BA2F5E}"/>
              </a:ext>
            </a:extLst>
          </xdr:cNvPr>
          <xdr:cNvSpPr/>
        </xdr:nvSpPr>
        <xdr:spPr>
          <a:xfrm>
            <a:off x="2066891" y="4075679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C817BC9-5CBC-453B-B114-066C23FE809D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1358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4" name="Retângulo 263">
            <a:extLst>
              <a:ext uri="{FF2B5EF4-FFF2-40B4-BE49-F238E27FC236}">
                <a16:creationId xmlns:a16="http://schemas.microsoft.com/office/drawing/2014/main" id="{2D39F235-2123-9137-F471-1B252A5624A7}"/>
              </a:ext>
            </a:extLst>
          </xdr:cNvPr>
          <xdr:cNvSpPr/>
        </xdr:nvSpPr>
        <xdr:spPr>
          <a:xfrm>
            <a:off x="1319270" y="4243237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20</a:t>
            </a:r>
          </a:p>
        </xdr:txBody>
      </xdr:sp>
      <xdr:sp macro="" textlink="$AD$3">
        <xdr:nvSpPr>
          <xdr:cNvPr id="265" name="Retângulo 264">
            <a:extLst>
              <a:ext uri="{FF2B5EF4-FFF2-40B4-BE49-F238E27FC236}">
                <a16:creationId xmlns:a16="http://schemas.microsoft.com/office/drawing/2014/main" id="{3002052B-4491-F971-3121-57D2436359D5}"/>
              </a:ext>
            </a:extLst>
          </xdr:cNvPr>
          <xdr:cNvSpPr/>
        </xdr:nvSpPr>
        <xdr:spPr>
          <a:xfrm>
            <a:off x="1643259" y="4247129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71B1C60-7F07-4D3A-8C05-2D47739F5712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AD$2">
        <xdr:nvSpPr>
          <xdr:cNvPr id="266" name="Retângulo 265">
            <a:extLst>
              <a:ext uri="{FF2B5EF4-FFF2-40B4-BE49-F238E27FC236}">
                <a16:creationId xmlns:a16="http://schemas.microsoft.com/office/drawing/2014/main" id="{996ACFE9-8771-8612-EF3A-B815DB64D1E2}"/>
              </a:ext>
            </a:extLst>
          </xdr:cNvPr>
          <xdr:cNvSpPr/>
        </xdr:nvSpPr>
        <xdr:spPr>
          <a:xfrm>
            <a:off x="2066891" y="4247129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2F365739-619A-43AD-9BA0-F8394E628F2D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1408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7" name="Retângulo 266">
            <a:extLst>
              <a:ext uri="{FF2B5EF4-FFF2-40B4-BE49-F238E27FC236}">
                <a16:creationId xmlns:a16="http://schemas.microsoft.com/office/drawing/2014/main" id="{29E49B32-C960-8068-6F94-A6E70D8D4DA1}"/>
              </a:ext>
            </a:extLst>
          </xdr:cNvPr>
          <xdr:cNvSpPr/>
        </xdr:nvSpPr>
        <xdr:spPr>
          <a:xfrm>
            <a:off x="1319270" y="4411886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21</a:t>
            </a:r>
          </a:p>
        </xdr:txBody>
      </xdr:sp>
      <xdr:sp macro="" textlink="$AE$3">
        <xdr:nvSpPr>
          <xdr:cNvPr id="268" name="Retângulo 267">
            <a:extLst>
              <a:ext uri="{FF2B5EF4-FFF2-40B4-BE49-F238E27FC236}">
                <a16:creationId xmlns:a16="http://schemas.microsoft.com/office/drawing/2014/main" id="{CB72C4C0-57C1-E097-EF1A-AF6BB2065EA0}"/>
              </a:ext>
            </a:extLst>
          </xdr:cNvPr>
          <xdr:cNvSpPr/>
        </xdr:nvSpPr>
        <xdr:spPr>
          <a:xfrm>
            <a:off x="1643259" y="4415778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777F23A-B7E5-4923-A6A6-22CBFE0DB0E5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AE$2">
        <xdr:nvSpPr>
          <xdr:cNvPr id="269" name="Retângulo 268">
            <a:extLst>
              <a:ext uri="{FF2B5EF4-FFF2-40B4-BE49-F238E27FC236}">
                <a16:creationId xmlns:a16="http://schemas.microsoft.com/office/drawing/2014/main" id="{25F12BE2-2836-C463-29B2-D4ADDDBF60B7}"/>
              </a:ext>
            </a:extLst>
          </xdr:cNvPr>
          <xdr:cNvSpPr/>
        </xdr:nvSpPr>
        <xdr:spPr>
          <a:xfrm>
            <a:off x="2066891" y="4415778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47FAED8-D523-40B4-B689-705D75D03BD3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1450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0" name="Retângulo 269">
            <a:extLst>
              <a:ext uri="{FF2B5EF4-FFF2-40B4-BE49-F238E27FC236}">
                <a16:creationId xmlns:a16="http://schemas.microsoft.com/office/drawing/2014/main" id="{8DC47AFB-C621-BA41-ECC2-579332D4420B}"/>
              </a:ext>
            </a:extLst>
          </xdr:cNvPr>
          <xdr:cNvSpPr/>
        </xdr:nvSpPr>
        <xdr:spPr>
          <a:xfrm>
            <a:off x="1319270" y="4583336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22</a:t>
            </a:r>
          </a:p>
        </xdr:txBody>
      </xdr:sp>
      <xdr:sp macro="" textlink="$AF$3">
        <xdr:nvSpPr>
          <xdr:cNvPr id="271" name="Retângulo 270">
            <a:extLst>
              <a:ext uri="{FF2B5EF4-FFF2-40B4-BE49-F238E27FC236}">
                <a16:creationId xmlns:a16="http://schemas.microsoft.com/office/drawing/2014/main" id="{D488023A-4A5F-9280-13C7-4D89A34563A7}"/>
              </a:ext>
            </a:extLst>
          </xdr:cNvPr>
          <xdr:cNvSpPr/>
        </xdr:nvSpPr>
        <xdr:spPr>
          <a:xfrm>
            <a:off x="1643259" y="4584427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E5E4D08-95AA-4238-9636-4C1A476F0A28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AF$2">
        <xdr:nvSpPr>
          <xdr:cNvPr id="272" name="Retângulo 271">
            <a:extLst>
              <a:ext uri="{FF2B5EF4-FFF2-40B4-BE49-F238E27FC236}">
                <a16:creationId xmlns:a16="http://schemas.microsoft.com/office/drawing/2014/main" id="{EF0B1A80-0DA6-AFC3-A078-678899EF7207}"/>
              </a:ext>
            </a:extLst>
          </xdr:cNvPr>
          <xdr:cNvSpPr/>
        </xdr:nvSpPr>
        <xdr:spPr>
          <a:xfrm>
            <a:off x="2066891" y="4584427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BE63698-7DE8-4C8E-973A-FB908C77E0F1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1486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3" name="Retângulo 272">
            <a:extLst>
              <a:ext uri="{FF2B5EF4-FFF2-40B4-BE49-F238E27FC236}">
                <a16:creationId xmlns:a16="http://schemas.microsoft.com/office/drawing/2014/main" id="{15A86F62-F2D2-2F93-741D-66741F871B5C}"/>
              </a:ext>
            </a:extLst>
          </xdr:cNvPr>
          <xdr:cNvSpPr/>
        </xdr:nvSpPr>
        <xdr:spPr>
          <a:xfrm>
            <a:off x="1319270" y="4753107"/>
            <a:ext cx="298193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23</a:t>
            </a:r>
          </a:p>
        </xdr:txBody>
      </xdr:sp>
      <xdr:sp macro="" textlink="$AG$3">
        <xdr:nvSpPr>
          <xdr:cNvPr id="274" name="Retângulo 273">
            <a:extLst>
              <a:ext uri="{FF2B5EF4-FFF2-40B4-BE49-F238E27FC236}">
                <a16:creationId xmlns:a16="http://schemas.microsoft.com/office/drawing/2014/main" id="{8778E9F0-53CF-E785-34B8-6B30F66B7C7A}"/>
              </a:ext>
            </a:extLst>
          </xdr:cNvPr>
          <xdr:cNvSpPr/>
        </xdr:nvSpPr>
        <xdr:spPr>
          <a:xfrm>
            <a:off x="1643259" y="4754198"/>
            <a:ext cx="39419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45B6F4E-CD0E-4F5E-8E7E-72752ED85340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AG$2">
        <xdr:nvSpPr>
          <xdr:cNvPr id="275" name="Retângulo 274">
            <a:extLst>
              <a:ext uri="{FF2B5EF4-FFF2-40B4-BE49-F238E27FC236}">
                <a16:creationId xmlns:a16="http://schemas.microsoft.com/office/drawing/2014/main" id="{ED0A9B07-AA89-0AC0-B518-11237C378944}"/>
              </a:ext>
            </a:extLst>
          </xdr:cNvPr>
          <xdr:cNvSpPr/>
        </xdr:nvSpPr>
        <xdr:spPr>
          <a:xfrm>
            <a:off x="2066891" y="4754198"/>
            <a:ext cx="392844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AB69D96-BDFB-48D7-B28A-7DF7D4EA79F2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1516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6" name="Retângulo 275">
            <a:extLst>
              <a:ext uri="{FF2B5EF4-FFF2-40B4-BE49-F238E27FC236}">
                <a16:creationId xmlns:a16="http://schemas.microsoft.com/office/drawing/2014/main" id="{7CEA385F-72B5-3A5D-74CD-6F87C96648CE}"/>
              </a:ext>
            </a:extLst>
          </xdr:cNvPr>
          <xdr:cNvSpPr/>
        </xdr:nvSpPr>
        <xdr:spPr>
          <a:xfrm>
            <a:off x="1318479" y="4922085"/>
            <a:ext cx="300308" cy="1524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bg1"/>
                </a:solidFill>
                <a:latin typeface="+mn-lt"/>
                <a:ea typeface="+mn-ea"/>
                <a:cs typeface="+mn-cs"/>
              </a:rPr>
              <a:t>24</a:t>
            </a:r>
          </a:p>
        </xdr:txBody>
      </xdr:sp>
      <xdr:sp macro="" textlink="$AH$3">
        <xdr:nvSpPr>
          <xdr:cNvPr id="277" name="Retângulo 276">
            <a:extLst>
              <a:ext uri="{FF2B5EF4-FFF2-40B4-BE49-F238E27FC236}">
                <a16:creationId xmlns:a16="http://schemas.microsoft.com/office/drawing/2014/main" id="{0EA9227C-FBA0-7E66-76BD-447FBE53242D}"/>
              </a:ext>
            </a:extLst>
          </xdr:cNvPr>
          <xdr:cNvSpPr/>
        </xdr:nvSpPr>
        <xdr:spPr>
          <a:xfrm>
            <a:off x="1644336" y="4922382"/>
            <a:ext cx="391770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1A52E2AC-D67D-499F-8F5A-B5CA88C93D5C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AH$2">
        <xdr:nvSpPr>
          <xdr:cNvPr id="278" name="Retângulo 277">
            <a:extLst>
              <a:ext uri="{FF2B5EF4-FFF2-40B4-BE49-F238E27FC236}">
                <a16:creationId xmlns:a16="http://schemas.microsoft.com/office/drawing/2014/main" id="{34FC09B8-4FB6-C7B1-1ADB-D7C342FE80E2}"/>
              </a:ext>
            </a:extLst>
          </xdr:cNvPr>
          <xdr:cNvSpPr/>
        </xdr:nvSpPr>
        <xdr:spPr>
          <a:xfrm>
            <a:off x="2069716" y="4922382"/>
            <a:ext cx="389311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20F7133-6062-45EF-9F4C-6DED9DE1F0CA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1540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W$5">
        <xdr:nvSpPr>
          <xdr:cNvPr id="433" name="Retângulo 432">
            <a:extLst>
              <a:ext uri="{FF2B5EF4-FFF2-40B4-BE49-F238E27FC236}">
                <a16:creationId xmlns:a16="http://schemas.microsoft.com/office/drawing/2014/main" id="{3489F456-2616-D1D5-4298-1DBB4C742063}"/>
              </a:ext>
            </a:extLst>
          </xdr:cNvPr>
          <xdr:cNvSpPr/>
        </xdr:nvSpPr>
        <xdr:spPr>
          <a:xfrm>
            <a:off x="2475215" y="3059397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8E8FE25-AB21-47F3-80F2-9FB038F0F8F7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$X$5">
        <xdr:nvSpPr>
          <xdr:cNvPr id="434" name="Retângulo 433">
            <a:extLst>
              <a:ext uri="{FF2B5EF4-FFF2-40B4-BE49-F238E27FC236}">
                <a16:creationId xmlns:a16="http://schemas.microsoft.com/office/drawing/2014/main" id="{18F06D67-801A-D541-B3F6-DAADE75B8176}"/>
              </a:ext>
            </a:extLst>
          </xdr:cNvPr>
          <xdr:cNvSpPr/>
        </xdr:nvSpPr>
        <xdr:spPr>
          <a:xfrm>
            <a:off x="2478015" y="3228046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7319D0D-EE75-4578-9325-ADECB280FC24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Y$5">
        <xdr:nvSpPr>
          <xdr:cNvPr id="435" name="Retângulo 434">
            <a:extLst>
              <a:ext uri="{FF2B5EF4-FFF2-40B4-BE49-F238E27FC236}">
                <a16:creationId xmlns:a16="http://schemas.microsoft.com/office/drawing/2014/main" id="{A968AD93-E2AF-2C90-0E37-F0E855F735E2}"/>
              </a:ext>
            </a:extLst>
          </xdr:cNvPr>
          <xdr:cNvSpPr/>
        </xdr:nvSpPr>
        <xdr:spPr>
          <a:xfrm>
            <a:off x="2478015" y="3396695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EFCE33F-E2FE-4A98-B71B-66F2B304B6F2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Z$5">
        <xdr:nvSpPr>
          <xdr:cNvPr id="436" name="Retângulo 435">
            <a:extLst>
              <a:ext uri="{FF2B5EF4-FFF2-40B4-BE49-F238E27FC236}">
                <a16:creationId xmlns:a16="http://schemas.microsoft.com/office/drawing/2014/main" id="{59DAD104-E518-E90E-9FD5-B63640904E96}"/>
              </a:ext>
            </a:extLst>
          </xdr:cNvPr>
          <xdr:cNvSpPr/>
        </xdr:nvSpPr>
        <xdr:spPr>
          <a:xfrm>
            <a:off x="2478015" y="3565344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3F6D222-D0B2-48EF-8470-2887426C448A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A$5">
        <xdr:nvSpPr>
          <xdr:cNvPr id="437" name="Retângulo 436">
            <a:extLst>
              <a:ext uri="{FF2B5EF4-FFF2-40B4-BE49-F238E27FC236}">
                <a16:creationId xmlns:a16="http://schemas.microsoft.com/office/drawing/2014/main" id="{30B8E667-A922-34AA-67A5-770358DA1331}"/>
              </a:ext>
            </a:extLst>
          </xdr:cNvPr>
          <xdr:cNvSpPr/>
        </xdr:nvSpPr>
        <xdr:spPr>
          <a:xfrm>
            <a:off x="2480815" y="3736794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BBEDEC5-E66A-4BCB-9B5D-C675F82A92DD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B$5">
        <xdr:nvSpPr>
          <xdr:cNvPr id="438" name="Retângulo 437">
            <a:extLst>
              <a:ext uri="{FF2B5EF4-FFF2-40B4-BE49-F238E27FC236}">
                <a16:creationId xmlns:a16="http://schemas.microsoft.com/office/drawing/2014/main" id="{50849301-7DBA-103B-8FEC-9BF7C04AA54E}"/>
              </a:ext>
            </a:extLst>
          </xdr:cNvPr>
          <xdr:cNvSpPr/>
        </xdr:nvSpPr>
        <xdr:spPr>
          <a:xfrm>
            <a:off x="2483616" y="3905443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F8F9F8B-8D6B-42E5-BC95-BD3F10742C52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C$5">
        <xdr:nvSpPr>
          <xdr:cNvPr id="439" name="Retângulo 438">
            <a:extLst>
              <a:ext uri="{FF2B5EF4-FFF2-40B4-BE49-F238E27FC236}">
                <a16:creationId xmlns:a16="http://schemas.microsoft.com/office/drawing/2014/main" id="{41C43FD3-8686-C961-57F5-79C16E6A5ACA}"/>
              </a:ext>
            </a:extLst>
          </xdr:cNvPr>
          <xdr:cNvSpPr/>
        </xdr:nvSpPr>
        <xdr:spPr>
          <a:xfrm>
            <a:off x="2483616" y="4076893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03622DD-F39C-4AE2-90AA-52F876772CEE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D$5">
        <xdr:nvSpPr>
          <xdr:cNvPr id="440" name="Retângulo 439">
            <a:extLst>
              <a:ext uri="{FF2B5EF4-FFF2-40B4-BE49-F238E27FC236}">
                <a16:creationId xmlns:a16="http://schemas.microsoft.com/office/drawing/2014/main" id="{EB4D7358-0271-5453-5E3A-4BD910AA5728}"/>
              </a:ext>
            </a:extLst>
          </xdr:cNvPr>
          <xdr:cNvSpPr/>
        </xdr:nvSpPr>
        <xdr:spPr>
          <a:xfrm>
            <a:off x="2483616" y="4248343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F65982BE-9DCF-4788-8166-53243DF20E3E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E$5">
        <xdr:nvSpPr>
          <xdr:cNvPr id="441" name="Retângulo 440">
            <a:extLst>
              <a:ext uri="{FF2B5EF4-FFF2-40B4-BE49-F238E27FC236}">
                <a16:creationId xmlns:a16="http://schemas.microsoft.com/office/drawing/2014/main" id="{4B1B880F-DE26-5220-3CCE-65D44A3EA3CB}"/>
              </a:ext>
            </a:extLst>
          </xdr:cNvPr>
          <xdr:cNvSpPr/>
        </xdr:nvSpPr>
        <xdr:spPr>
          <a:xfrm>
            <a:off x="2483616" y="4419793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394829A-E4D0-46AE-A594-FA72B09CA25C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F$5">
        <xdr:nvSpPr>
          <xdr:cNvPr id="442" name="Retângulo 441">
            <a:extLst>
              <a:ext uri="{FF2B5EF4-FFF2-40B4-BE49-F238E27FC236}">
                <a16:creationId xmlns:a16="http://schemas.microsoft.com/office/drawing/2014/main" id="{AAFA4CEF-6142-8443-B314-A4A001E990ED}"/>
              </a:ext>
            </a:extLst>
          </xdr:cNvPr>
          <xdr:cNvSpPr/>
        </xdr:nvSpPr>
        <xdr:spPr>
          <a:xfrm>
            <a:off x="2483616" y="4591243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C8731082-2218-4377-BAC0-305D6E741B72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G$5">
        <xdr:nvSpPr>
          <xdr:cNvPr id="443" name="Retângulo 442">
            <a:extLst>
              <a:ext uri="{FF2B5EF4-FFF2-40B4-BE49-F238E27FC236}">
                <a16:creationId xmlns:a16="http://schemas.microsoft.com/office/drawing/2014/main" id="{77F9EB56-FB19-665E-AFE6-811C5EB558A2}"/>
              </a:ext>
            </a:extLst>
          </xdr:cNvPr>
          <xdr:cNvSpPr/>
        </xdr:nvSpPr>
        <xdr:spPr>
          <a:xfrm>
            <a:off x="2483616" y="4761014"/>
            <a:ext cx="291283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1981DBB-B4AE-481F-882C-89696E2DD354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H$5">
        <xdr:nvSpPr>
          <xdr:cNvPr id="444" name="Retângulo 443">
            <a:extLst>
              <a:ext uri="{FF2B5EF4-FFF2-40B4-BE49-F238E27FC236}">
                <a16:creationId xmlns:a16="http://schemas.microsoft.com/office/drawing/2014/main" id="{96416CAF-5853-42FA-8A61-5CD4E5D4AFF9}"/>
              </a:ext>
            </a:extLst>
          </xdr:cNvPr>
          <xdr:cNvSpPr/>
        </xdr:nvSpPr>
        <xdr:spPr>
          <a:xfrm>
            <a:off x="2477694" y="4927984"/>
            <a:ext cx="297205" cy="15240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1814A7B-5BF4-425E-ADD8-55469C406099}" type="TxLink">
              <a:rPr lang="en-US" sz="8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4</xdr:col>
      <xdr:colOff>1055010</xdr:colOff>
      <xdr:row>9</xdr:row>
      <xdr:rowOff>120120</xdr:rowOff>
    </xdr:from>
    <xdr:to>
      <xdr:col>5</xdr:col>
      <xdr:colOff>307385</xdr:colOff>
      <xdr:row>9</xdr:row>
      <xdr:rowOff>219515</xdr:rowOff>
    </xdr:to>
    <xdr:sp macro="" textlink="">
      <xdr:nvSpPr>
        <xdr:cNvPr id="446" name="Retângulo 445">
          <a:extLst>
            <a:ext uri="{FF2B5EF4-FFF2-40B4-BE49-F238E27FC236}">
              <a16:creationId xmlns:a16="http://schemas.microsoft.com/office/drawing/2014/main" id="{19421EF9-5C5D-18E5-DC51-8202E5B8B54E}"/>
            </a:ext>
          </a:extLst>
        </xdr:cNvPr>
        <xdr:cNvSpPr/>
      </xdr:nvSpPr>
      <xdr:spPr>
        <a:xfrm>
          <a:off x="4234679" y="2319274"/>
          <a:ext cx="356155" cy="9939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600" b="1" i="1"/>
            <a:t>Unif</a:t>
          </a:r>
          <a:r>
            <a:rPr lang="pt-BR" sz="600" b="1"/>
            <a:t>.</a:t>
          </a:r>
        </a:p>
      </xdr:txBody>
    </xdr:sp>
    <xdr:clientData/>
  </xdr:twoCellAnchor>
  <xdr:twoCellAnchor>
    <xdr:from>
      <xdr:col>4</xdr:col>
      <xdr:colOff>679936</xdr:colOff>
      <xdr:row>9</xdr:row>
      <xdr:rowOff>120123</xdr:rowOff>
    </xdr:from>
    <xdr:to>
      <xdr:col>5</xdr:col>
      <xdr:colOff>11863</xdr:colOff>
      <xdr:row>9</xdr:row>
      <xdr:rowOff>218689</xdr:rowOff>
    </xdr:to>
    <xdr:sp macro="" textlink="">
      <xdr:nvSpPr>
        <xdr:cNvPr id="447" name="Retângulo 446">
          <a:extLst>
            <a:ext uri="{FF2B5EF4-FFF2-40B4-BE49-F238E27FC236}">
              <a16:creationId xmlns:a16="http://schemas.microsoft.com/office/drawing/2014/main" id="{5193954C-B049-73CD-6300-1594799FAD8E}"/>
            </a:ext>
          </a:extLst>
        </xdr:cNvPr>
        <xdr:cNvSpPr/>
      </xdr:nvSpPr>
      <xdr:spPr>
        <a:xfrm>
          <a:off x="3859605" y="2319277"/>
          <a:ext cx="435707" cy="98566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 b="1" i="1"/>
            <a:t>Std</a:t>
          </a:r>
          <a:r>
            <a:rPr lang="pt-BR" sz="600" b="1"/>
            <a:t>.</a:t>
          </a:r>
        </a:p>
      </xdr:txBody>
    </xdr:sp>
    <xdr:clientData/>
  </xdr:twoCellAnchor>
  <xdr:twoCellAnchor>
    <xdr:from>
      <xdr:col>3</xdr:col>
      <xdr:colOff>1103937</xdr:colOff>
      <xdr:row>9</xdr:row>
      <xdr:rowOff>116745</xdr:rowOff>
    </xdr:from>
    <xdr:to>
      <xdr:col>4</xdr:col>
      <xdr:colOff>311990</xdr:colOff>
      <xdr:row>9</xdr:row>
      <xdr:rowOff>218387</xdr:rowOff>
    </xdr:to>
    <xdr:sp macro="" textlink="">
      <xdr:nvSpPr>
        <xdr:cNvPr id="448" name="Retângulo 447">
          <a:extLst>
            <a:ext uri="{FF2B5EF4-FFF2-40B4-BE49-F238E27FC236}">
              <a16:creationId xmlns:a16="http://schemas.microsoft.com/office/drawing/2014/main" id="{6FF70E1F-9EEF-8D7F-A3E4-DE5990628D63}"/>
            </a:ext>
          </a:extLst>
        </xdr:cNvPr>
        <xdr:cNvSpPr/>
      </xdr:nvSpPr>
      <xdr:spPr>
        <a:xfrm>
          <a:off x="3101386" y="2315899"/>
          <a:ext cx="390273" cy="101642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800" b="1" i="1"/>
            <a:t>SEM</a:t>
          </a:r>
        </a:p>
      </xdr:txBody>
    </xdr:sp>
    <xdr:clientData/>
  </xdr:twoCellAnchor>
  <xdr:twoCellAnchor>
    <xdr:from>
      <xdr:col>4</xdr:col>
      <xdr:colOff>270597</xdr:colOff>
      <xdr:row>9</xdr:row>
      <xdr:rowOff>118957</xdr:rowOff>
    </xdr:from>
    <xdr:to>
      <xdr:col>4</xdr:col>
      <xdr:colOff>661737</xdr:colOff>
      <xdr:row>9</xdr:row>
      <xdr:rowOff>218515</xdr:rowOff>
    </xdr:to>
    <xdr:sp macro="" textlink="">
      <xdr:nvSpPr>
        <xdr:cNvPr id="449" name="Retângulo 448">
          <a:extLst>
            <a:ext uri="{FF2B5EF4-FFF2-40B4-BE49-F238E27FC236}">
              <a16:creationId xmlns:a16="http://schemas.microsoft.com/office/drawing/2014/main" id="{12294342-26BF-E217-6E1A-B2C1E7873DBD}"/>
            </a:ext>
          </a:extLst>
        </xdr:cNvPr>
        <xdr:cNvSpPr/>
      </xdr:nvSpPr>
      <xdr:spPr>
        <a:xfrm>
          <a:off x="3450266" y="2318111"/>
          <a:ext cx="391140" cy="99558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 b="1" i="1"/>
            <a:t>Real</a:t>
          </a:r>
          <a:r>
            <a:rPr lang="pt-BR" sz="500" b="1"/>
            <a:t>           </a:t>
          </a:r>
        </a:p>
      </xdr:txBody>
    </xdr:sp>
    <xdr:clientData/>
  </xdr:twoCellAnchor>
  <xdr:twoCellAnchor>
    <xdr:from>
      <xdr:col>3</xdr:col>
      <xdr:colOff>697149</xdr:colOff>
      <xdr:row>12</xdr:row>
      <xdr:rowOff>167000</xdr:rowOff>
    </xdr:from>
    <xdr:to>
      <xdr:col>3</xdr:col>
      <xdr:colOff>994149</xdr:colOff>
      <xdr:row>13</xdr:row>
      <xdr:rowOff>75895</xdr:rowOff>
    </xdr:to>
    <xdr:sp macro="" textlink="">
      <xdr:nvSpPr>
        <xdr:cNvPr id="455" name="Retângulo 454">
          <a:extLst>
            <a:ext uri="{FF2B5EF4-FFF2-40B4-BE49-F238E27FC236}">
              <a16:creationId xmlns:a16="http://schemas.microsoft.com/office/drawing/2014/main" id="{75FCEE07-D538-F416-ED96-EFF9B143CEDB}"/>
            </a:ext>
          </a:extLst>
        </xdr:cNvPr>
        <xdr:cNvSpPr/>
      </xdr:nvSpPr>
      <xdr:spPr>
        <a:xfrm>
          <a:off x="2694598" y="3004890"/>
          <a:ext cx="297000" cy="9939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400" b="1" i="1"/>
            <a:t>Unif</a:t>
          </a:r>
          <a:r>
            <a:rPr lang="pt-BR" sz="400" b="1"/>
            <a:t>.</a:t>
          </a:r>
        </a:p>
      </xdr:txBody>
    </xdr:sp>
    <xdr:clientData/>
  </xdr:twoCellAnchor>
  <xdr:twoCellAnchor>
    <xdr:from>
      <xdr:col>3</xdr:col>
      <xdr:colOff>275616</xdr:colOff>
      <xdr:row>12</xdr:row>
      <xdr:rowOff>168254</xdr:rowOff>
    </xdr:from>
    <xdr:to>
      <xdr:col>3</xdr:col>
      <xdr:colOff>673055</xdr:colOff>
      <xdr:row>13</xdr:row>
      <xdr:rowOff>76320</xdr:rowOff>
    </xdr:to>
    <xdr:sp macro="" textlink="">
      <xdr:nvSpPr>
        <xdr:cNvPr id="456" name="Retângulo 455">
          <a:extLst>
            <a:ext uri="{FF2B5EF4-FFF2-40B4-BE49-F238E27FC236}">
              <a16:creationId xmlns:a16="http://schemas.microsoft.com/office/drawing/2014/main" id="{19B2B6D9-18EC-DF45-99B5-F7CC86DCA482}"/>
            </a:ext>
          </a:extLst>
        </xdr:cNvPr>
        <xdr:cNvSpPr/>
      </xdr:nvSpPr>
      <xdr:spPr>
        <a:xfrm>
          <a:off x="2273065" y="3006144"/>
          <a:ext cx="397439" cy="98566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 b="1" i="1"/>
            <a:t>Std</a:t>
          </a:r>
          <a:r>
            <a:rPr lang="pt-BR" sz="600" b="1"/>
            <a:t>.</a:t>
          </a:r>
        </a:p>
      </xdr:txBody>
    </xdr:sp>
    <xdr:clientData/>
  </xdr:twoCellAnchor>
  <xdr:twoCellAnchor>
    <xdr:from>
      <xdr:col>2</xdr:col>
      <xdr:colOff>405592</xdr:colOff>
      <xdr:row>12</xdr:row>
      <xdr:rowOff>169006</xdr:rowOff>
    </xdr:from>
    <xdr:to>
      <xdr:col>2</xdr:col>
      <xdr:colOff>709308</xdr:colOff>
      <xdr:row>13</xdr:row>
      <xdr:rowOff>80148</xdr:rowOff>
    </xdr:to>
    <xdr:sp macro="" textlink="">
      <xdr:nvSpPr>
        <xdr:cNvPr id="457" name="Retângulo 456">
          <a:extLst>
            <a:ext uri="{FF2B5EF4-FFF2-40B4-BE49-F238E27FC236}">
              <a16:creationId xmlns:a16="http://schemas.microsoft.com/office/drawing/2014/main" id="{14A6D332-522E-63B0-AC02-AE80467A2830}"/>
            </a:ext>
          </a:extLst>
        </xdr:cNvPr>
        <xdr:cNvSpPr/>
      </xdr:nvSpPr>
      <xdr:spPr>
        <a:xfrm>
          <a:off x="1540486" y="3010293"/>
          <a:ext cx="303716" cy="101642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500" b="1" i="1"/>
            <a:t>SEM</a:t>
          </a:r>
        </a:p>
      </xdr:txBody>
    </xdr:sp>
    <xdr:clientData/>
  </xdr:twoCellAnchor>
  <xdr:twoCellAnchor>
    <xdr:from>
      <xdr:col>2</xdr:col>
      <xdr:colOff>725521</xdr:colOff>
      <xdr:row>12</xdr:row>
      <xdr:rowOff>168710</xdr:rowOff>
    </xdr:from>
    <xdr:to>
      <xdr:col>3</xdr:col>
      <xdr:colOff>259082</xdr:colOff>
      <xdr:row>13</xdr:row>
      <xdr:rowOff>79852</xdr:rowOff>
    </xdr:to>
    <xdr:sp macro="" textlink="">
      <xdr:nvSpPr>
        <xdr:cNvPr id="458" name="Retângulo 457">
          <a:extLst>
            <a:ext uri="{FF2B5EF4-FFF2-40B4-BE49-F238E27FC236}">
              <a16:creationId xmlns:a16="http://schemas.microsoft.com/office/drawing/2014/main" id="{17F0BA22-CB26-05DA-5A6E-3C19971472F0}"/>
            </a:ext>
          </a:extLst>
        </xdr:cNvPr>
        <xdr:cNvSpPr/>
      </xdr:nvSpPr>
      <xdr:spPr>
        <a:xfrm>
          <a:off x="1857315" y="3006600"/>
          <a:ext cx="399216" cy="101642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 b="1" i="1"/>
            <a:t>Real</a:t>
          </a:r>
          <a:r>
            <a:rPr lang="pt-BR" sz="500" b="1"/>
            <a:t>           </a:t>
          </a:r>
        </a:p>
      </xdr:txBody>
    </xdr:sp>
    <xdr:clientData/>
  </xdr:twoCellAnchor>
  <xdr:twoCellAnchor>
    <xdr:from>
      <xdr:col>1</xdr:col>
      <xdr:colOff>559593</xdr:colOff>
      <xdr:row>8</xdr:row>
      <xdr:rowOff>94998</xdr:rowOff>
    </xdr:from>
    <xdr:to>
      <xdr:col>3</xdr:col>
      <xdr:colOff>464343</xdr:colOff>
      <xdr:row>9</xdr:row>
      <xdr:rowOff>89045</xdr:rowOff>
    </xdr:to>
    <xdr:sp macro="" textlink="">
      <xdr:nvSpPr>
        <xdr:cNvPr id="459" name="Retângulo 458">
          <a:extLst>
            <a:ext uri="{FF2B5EF4-FFF2-40B4-BE49-F238E27FC236}">
              <a16:creationId xmlns:a16="http://schemas.microsoft.com/office/drawing/2014/main" id="{F2F6EA66-F414-F41C-84AD-CB3091EB7546}"/>
            </a:ext>
          </a:extLst>
        </xdr:cNvPr>
        <xdr:cNvSpPr/>
      </xdr:nvSpPr>
      <xdr:spPr>
        <a:xfrm>
          <a:off x="713614" y="2109434"/>
          <a:ext cx="1753006" cy="1845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CHEGADA / RECRIA</a:t>
          </a:r>
        </a:p>
      </xdr:txBody>
    </xdr:sp>
    <xdr:clientData/>
  </xdr:twoCellAnchor>
  <xdr:twoCellAnchor>
    <xdr:from>
      <xdr:col>4</xdr:col>
      <xdr:colOff>30905</xdr:colOff>
      <xdr:row>8</xdr:row>
      <xdr:rowOff>89044</xdr:rowOff>
    </xdr:from>
    <xdr:to>
      <xdr:col>5</xdr:col>
      <xdr:colOff>274984</xdr:colOff>
      <xdr:row>9</xdr:row>
      <xdr:rowOff>83091</xdr:rowOff>
    </xdr:to>
    <xdr:sp macro="" textlink="">
      <xdr:nvSpPr>
        <xdr:cNvPr id="461" name="Retângulo 460">
          <a:extLst>
            <a:ext uri="{FF2B5EF4-FFF2-40B4-BE49-F238E27FC236}">
              <a16:creationId xmlns:a16="http://schemas.microsoft.com/office/drawing/2014/main" id="{870F3C02-9D62-1302-05B1-406A5ADF5D2E}"/>
            </a:ext>
          </a:extLst>
        </xdr:cNvPr>
        <xdr:cNvSpPr/>
      </xdr:nvSpPr>
      <xdr:spPr>
        <a:xfrm>
          <a:off x="3212660" y="2103480"/>
          <a:ext cx="1350601" cy="1845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PRODUÇÃO</a:t>
          </a:r>
        </a:p>
      </xdr:txBody>
    </xdr:sp>
    <xdr:clientData/>
  </xdr:twoCellAnchor>
  <xdr:twoCellAnchor>
    <xdr:from>
      <xdr:col>1</xdr:col>
      <xdr:colOff>20267</xdr:colOff>
      <xdr:row>25</xdr:row>
      <xdr:rowOff>105382</xdr:rowOff>
    </xdr:from>
    <xdr:to>
      <xdr:col>5</xdr:col>
      <xdr:colOff>137653</xdr:colOff>
      <xdr:row>37</xdr:row>
      <xdr:rowOff>51287</xdr:rowOff>
    </xdr:to>
    <xdr:graphicFrame macro="">
      <xdr:nvGraphicFramePr>
        <xdr:cNvPr id="463" name="Gráfico 462">
          <a:extLst>
            <a:ext uri="{FF2B5EF4-FFF2-40B4-BE49-F238E27FC236}">
              <a16:creationId xmlns:a16="http://schemas.microsoft.com/office/drawing/2014/main" id="{E5232E51-CC89-F5FF-870B-AF8FA39F9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73269</xdr:colOff>
      <xdr:row>35</xdr:row>
      <xdr:rowOff>1</xdr:rowOff>
    </xdr:from>
    <xdr:to>
      <xdr:col>5</xdr:col>
      <xdr:colOff>80595</xdr:colOff>
      <xdr:row>35</xdr:row>
      <xdr:rowOff>102577</xdr:rowOff>
    </xdr:to>
    <xdr:sp macro="" textlink="">
      <xdr:nvSpPr>
        <xdr:cNvPr id="464" name="CaixaDeTexto 463">
          <a:extLst>
            <a:ext uri="{FF2B5EF4-FFF2-40B4-BE49-F238E27FC236}">
              <a16:creationId xmlns:a16="http://schemas.microsoft.com/office/drawing/2014/main" id="{BBB84B92-5703-5D9E-C1DF-EC661B574246}"/>
            </a:ext>
          </a:extLst>
        </xdr:cNvPr>
        <xdr:cNvSpPr txBox="1"/>
      </xdr:nvSpPr>
      <xdr:spPr>
        <a:xfrm>
          <a:off x="227134" y="7195039"/>
          <a:ext cx="4139711" cy="102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400"/>
            <a:t>A             B             C            1              2            3             4             5              6             7             8             9            10            11         12            13          14            15          16           17</a:t>
          </a:r>
          <a:r>
            <a:rPr lang="pt-BR" sz="400" baseline="0"/>
            <a:t>            18           19         20</a:t>
          </a:r>
          <a:r>
            <a:rPr lang="pt-BR" sz="400"/>
            <a:t>       </a:t>
          </a:r>
        </a:p>
      </xdr:txBody>
    </xdr:sp>
    <xdr:clientData/>
  </xdr:twoCellAnchor>
  <xdr:twoCellAnchor>
    <xdr:from>
      <xdr:col>1</xdr:col>
      <xdr:colOff>633719</xdr:colOff>
      <xdr:row>17</xdr:row>
      <xdr:rowOff>37990</xdr:rowOff>
    </xdr:from>
    <xdr:to>
      <xdr:col>2</xdr:col>
      <xdr:colOff>40774</xdr:colOff>
      <xdr:row>18</xdr:row>
      <xdr:rowOff>61</xdr:rowOff>
    </xdr:to>
    <xdr:sp macro="" textlink="$O$2">
      <xdr:nvSpPr>
        <xdr:cNvPr id="466" name="Retângulo 465">
          <a:extLst>
            <a:ext uri="{FF2B5EF4-FFF2-40B4-BE49-F238E27FC236}">
              <a16:creationId xmlns:a16="http://schemas.microsoft.com/office/drawing/2014/main" id="{D934F3AD-4E36-699D-CA42-E7E50DDFE01B}"/>
            </a:ext>
          </a:extLst>
        </xdr:cNvPr>
        <xdr:cNvSpPr/>
      </xdr:nvSpPr>
      <xdr:spPr>
        <a:xfrm>
          <a:off x="784998" y="3828380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F1D83D2-7BCB-4006-8CDB-1A60C210DD43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325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633594</xdr:colOff>
      <xdr:row>18</xdr:row>
      <xdr:rowOff>15762</xdr:rowOff>
    </xdr:from>
    <xdr:to>
      <xdr:col>2</xdr:col>
      <xdr:colOff>40649</xdr:colOff>
      <xdr:row>18</xdr:row>
      <xdr:rowOff>168333</xdr:rowOff>
    </xdr:to>
    <xdr:sp macro="" textlink="$P$2">
      <xdr:nvSpPr>
        <xdr:cNvPr id="467" name="Retângulo 466">
          <a:extLst>
            <a:ext uri="{FF2B5EF4-FFF2-40B4-BE49-F238E27FC236}">
              <a16:creationId xmlns:a16="http://schemas.microsoft.com/office/drawing/2014/main" id="{3CD920AC-455D-DBC2-DFD8-86A140D0285E}"/>
            </a:ext>
          </a:extLst>
        </xdr:cNvPr>
        <xdr:cNvSpPr/>
      </xdr:nvSpPr>
      <xdr:spPr>
        <a:xfrm>
          <a:off x="784873" y="3996652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CC514A4-F6D7-407E-9CD9-0EF3E4154B23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410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633297</xdr:colOff>
      <xdr:row>18</xdr:row>
      <xdr:rowOff>184421</xdr:rowOff>
    </xdr:from>
    <xdr:to>
      <xdr:col>2</xdr:col>
      <xdr:colOff>40352</xdr:colOff>
      <xdr:row>19</xdr:row>
      <xdr:rowOff>146492</xdr:rowOff>
    </xdr:to>
    <xdr:sp macro="" textlink="$Q$2">
      <xdr:nvSpPr>
        <xdr:cNvPr id="468" name="Retângulo 467">
          <a:extLst>
            <a:ext uri="{FF2B5EF4-FFF2-40B4-BE49-F238E27FC236}">
              <a16:creationId xmlns:a16="http://schemas.microsoft.com/office/drawing/2014/main" id="{8CE929BE-1764-56B1-F23D-D8E18976092F}"/>
            </a:ext>
          </a:extLst>
        </xdr:cNvPr>
        <xdr:cNvSpPr/>
      </xdr:nvSpPr>
      <xdr:spPr>
        <a:xfrm>
          <a:off x="784576" y="4165311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2A3D972-0072-4A9F-9AD8-A8E02AEA168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496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632502</xdr:colOff>
      <xdr:row>19</xdr:row>
      <xdr:rowOff>161656</xdr:rowOff>
    </xdr:from>
    <xdr:to>
      <xdr:col>2</xdr:col>
      <xdr:colOff>39557</xdr:colOff>
      <xdr:row>20</xdr:row>
      <xdr:rowOff>123727</xdr:rowOff>
    </xdr:to>
    <xdr:sp macro="" textlink="$R$2">
      <xdr:nvSpPr>
        <xdr:cNvPr id="469" name="Retângulo 468">
          <a:extLst>
            <a:ext uri="{FF2B5EF4-FFF2-40B4-BE49-F238E27FC236}">
              <a16:creationId xmlns:a16="http://schemas.microsoft.com/office/drawing/2014/main" id="{6F24ACAA-31E6-E630-62E1-F48A5EFA3F20}"/>
            </a:ext>
          </a:extLst>
        </xdr:cNvPr>
        <xdr:cNvSpPr/>
      </xdr:nvSpPr>
      <xdr:spPr>
        <a:xfrm>
          <a:off x="783781" y="4333046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EAED465-1A19-4B4E-B2E5-7B182FB27C4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582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632503</xdr:colOff>
      <xdr:row>20</xdr:row>
      <xdr:rowOff>139762</xdr:rowOff>
    </xdr:from>
    <xdr:to>
      <xdr:col>2</xdr:col>
      <xdr:colOff>39558</xdr:colOff>
      <xdr:row>21</xdr:row>
      <xdr:rowOff>101833</xdr:rowOff>
    </xdr:to>
    <xdr:sp macro="" textlink="$S$2">
      <xdr:nvSpPr>
        <xdr:cNvPr id="470" name="Retângulo 469">
          <a:extLst>
            <a:ext uri="{FF2B5EF4-FFF2-40B4-BE49-F238E27FC236}">
              <a16:creationId xmlns:a16="http://schemas.microsoft.com/office/drawing/2014/main" id="{19CC3A33-A878-950E-968A-E2CB76862273}"/>
            </a:ext>
          </a:extLst>
        </xdr:cNvPr>
        <xdr:cNvSpPr/>
      </xdr:nvSpPr>
      <xdr:spPr>
        <a:xfrm>
          <a:off x="783782" y="4501652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5B8123C-708B-447C-8E55-967D2B71935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665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632504</xdr:colOff>
      <xdr:row>21</xdr:row>
      <xdr:rowOff>117423</xdr:rowOff>
    </xdr:from>
    <xdr:to>
      <xdr:col>2</xdr:col>
      <xdr:colOff>39559</xdr:colOff>
      <xdr:row>22</xdr:row>
      <xdr:rowOff>79494</xdr:rowOff>
    </xdr:to>
    <xdr:sp macro="" textlink="$T$2">
      <xdr:nvSpPr>
        <xdr:cNvPr id="471" name="Retângulo 470">
          <a:extLst>
            <a:ext uri="{FF2B5EF4-FFF2-40B4-BE49-F238E27FC236}">
              <a16:creationId xmlns:a16="http://schemas.microsoft.com/office/drawing/2014/main" id="{EEE34B93-74CB-2B40-036C-5C8A27508BAB}"/>
            </a:ext>
          </a:extLst>
        </xdr:cNvPr>
        <xdr:cNvSpPr/>
      </xdr:nvSpPr>
      <xdr:spPr>
        <a:xfrm>
          <a:off x="783783" y="4669813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85B0392-2455-4EE4-9232-FD38ACF6E24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745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632503</xdr:colOff>
      <xdr:row>22</xdr:row>
      <xdr:rowOff>95768</xdr:rowOff>
    </xdr:from>
    <xdr:to>
      <xdr:col>2</xdr:col>
      <xdr:colOff>39558</xdr:colOff>
      <xdr:row>23</xdr:row>
      <xdr:rowOff>57839</xdr:rowOff>
    </xdr:to>
    <xdr:sp macro="" textlink="$U$2">
      <xdr:nvSpPr>
        <xdr:cNvPr id="472" name="Retângulo 471">
          <a:extLst>
            <a:ext uri="{FF2B5EF4-FFF2-40B4-BE49-F238E27FC236}">
              <a16:creationId xmlns:a16="http://schemas.microsoft.com/office/drawing/2014/main" id="{F9AC9227-F8F7-9137-2F76-3AB03A5B1836}"/>
            </a:ext>
          </a:extLst>
        </xdr:cNvPr>
        <xdr:cNvSpPr/>
      </xdr:nvSpPr>
      <xdr:spPr>
        <a:xfrm>
          <a:off x="783782" y="4838658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7303157-459E-4F8D-848C-A3DD9C76569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822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634069</xdr:colOff>
      <xdr:row>23</xdr:row>
      <xdr:rowOff>76563</xdr:rowOff>
    </xdr:from>
    <xdr:to>
      <xdr:col>2</xdr:col>
      <xdr:colOff>41124</xdr:colOff>
      <xdr:row>24</xdr:row>
      <xdr:rowOff>38634</xdr:rowOff>
    </xdr:to>
    <xdr:sp macro="" textlink="$V$2">
      <xdr:nvSpPr>
        <xdr:cNvPr id="475" name="Retângulo 474">
          <a:extLst>
            <a:ext uri="{FF2B5EF4-FFF2-40B4-BE49-F238E27FC236}">
              <a16:creationId xmlns:a16="http://schemas.microsoft.com/office/drawing/2014/main" id="{EBA23EF6-6A31-984D-3842-1B7A81CDEDA9}"/>
            </a:ext>
          </a:extLst>
        </xdr:cNvPr>
        <xdr:cNvSpPr/>
      </xdr:nvSpPr>
      <xdr:spPr>
        <a:xfrm>
          <a:off x="785348" y="5009953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14CA392-7B66-45C9-B4B7-646666BA85EA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896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633719</xdr:colOff>
      <xdr:row>16</xdr:row>
      <xdr:rowOff>59553</xdr:rowOff>
    </xdr:from>
    <xdr:to>
      <xdr:col>2</xdr:col>
      <xdr:colOff>40774</xdr:colOff>
      <xdr:row>17</xdr:row>
      <xdr:rowOff>21624</xdr:rowOff>
    </xdr:to>
    <xdr:sp macro="" textlink="$N$2">
      <xdr:nvSpPr>
        <xdr:cNvPr id="218" name="Retângulo 217">
          <a:extLst>
            <a:ext uri="{FF2B5EF4-FFF2-40B4-BE49-F238E27FC236}">
              <a16:creationId xmlns:a16="http://schemas.microsoft.com/office/drawing/2014/main" id="{75D86DAF-98E5-CC84-282D-B9D9E814D068}"/>
            </a:ext>
          </a:extLst>
        </xdr:cNvPr>
        <xdr:cNvSpPr/>
      </xdr:nvSpPr>
      <xdr:spPr>
        <a:xfrm>
          <a:off x="784998" y="3659443"/>
          <a:ext cx="387570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69A5E5D-CC8F-4905-B645-8C0B991494DA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245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633719</xdr:colOff>
      <xdr:row>15</xdr:row>
      <xdr:rowOff>76229</xdr:rowOff>
    </xdr:from>
    <xdr:to>
      <xdr:col>2</xdr:col>
      <xdr:colOff>40774</xdr:colOff>
      <xdr:row>16</xdr:row>
      <xdr:rowOff>38300</xdr:rowOff>
    </xdr:to>
    <xdr:sp macro="" textlink="$M$2">
      <xdr:nvSpPr>
        <xdr:cNvPr id="465" name="Retângulo 464">
          <a:extLst>
            <a:ext uri="{FF2B5EF4-FFF2-40B4-BE49-F238E27FC236}">
              <a16:creationId xmlns:a16="http://schemas.microsoft.com/office/drawing/2014/main" id="{B7CF9625-BEE1-71D2-1C64-0EDFE7646263}"/>
            </a:ext>
          </a:extLst>
        </xdr:cNvPr>
        <xdr:cNvSpPr/>
      </xdr:nvSpPr>
      <xdr:spPr>
        <a:xfrm>
          <a:off x="787740" y="3489016"/>
          <a:ext cx="387928" cy="15257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112083A-F12E-4540-A442-335FDFAB33CC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175</a:t>
          </a:fld>
          <a:endParaRPr lang="pt-BR" sz="8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7262</xdr:colOff>
      <xdr:row>9</xdr:row>
      <xdr:rowOff>128523</xdr:rowOff>
    </xdr:from>
    <xdr:to>
      <xdr:col>3</xdr:col>
      <xdr:colOff>366918</xdr:colOff>
      <xdr:row>9</xdr:row>
      <xdr:rowOff>227918</xdr:rowOff>
    </xdr:to>
    <xdr:sp macro="" textlink="">
      <xdr:nvSpPr>
        <xdr:cNvPr id="476" name="Retângulo 475">
          <a:extLst>
            <a:ext uri="{FF2B5EF4-FFF2-40B4-BE49-F238E27FC236}">
              <a16:creationId xmlns:a16="http://schemas.microsoft.com/office/drawing/2014/main" id="{48CE6F97-A7AE-062D-DA7A-46C9507AC38F}"/>
            </a:ext>
          </a:extLst>
        </xdr:cNvPr>
        <xdr:cNvSpPr/>
      </xdr:nvSpPr>
      <xdr:spPr>
        <a:xfrm>
          <a:off x="2013465" y="2301414"/>
          <a:ext cx="359656" cy="9939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600" b="1" i="1"/>
            <a:t>Unif</a:t>
          </a:r>
          <a:r>
            <a:rPr lang="pt-BR" sz="600" b="1"/>
            <a:t>.</a:t>
          </a:r>
        </a:p>
      </xdr:txBody>
    </xdr:sp>
    <xdr:clientData/>
  </xdr:twoCellAnchor>
  <xdr:twoCellAnchor>
    <xdr:from>
      <xdr:col>2</xdr:col>
      <xdr:colOff>504146</xdr:colOff>
      <xdr:row>9</xdr:row>
      <xdr:rowOff>128524</xdr:rowOff>
    </xdr:from>
    <xdr:to>
      <xdr:col>3</xdr:col>
      <xdr:colOff>74198</xdr:colOff>
      <xdr:row>9</xdr:row>
      <xdr:rowOff>227090</xdr:rowOff>
    </xdr:to>
    <xdr:sp macro="" textlink="">
      <xdr:nvSpPr>
        <xdr:cNvPr id="477" name="Retângulo 476">
          <a:extLst>
            <a:ext uri="{FF2B5EF4-FFF2-40B4-BE49-F238E27FC236}">
              <a16:creationId xmlns:a16="http://schemas.microsoft.com/office/drawing/2014/main" id="{3D05DF60-D5E0-0B99-4180-4FE777A99B80}"/>
            </a:ext>
          </a:extLst>
        </xdr:cNvPr>
        <xdr:cNvSpPr/>
      </xdr:nvSpPr>
      <xdr:spPr>
        <a:xfrm>
          <a:off x="1641193" y="2301415"/>
          <a:ext cx="439208" cy="98566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600" b="1" i="1"/>
            <a:t>Std</a:t>
          </a:r>
          <a:r>
            <a:rPr lang="pt-BR" sz="600" b="1"/>
            <a:t>.</a:t>
          </a:r>
        </a:p>
      </xdr:txBody>
    </xdr:sp>
    <xdr:clientData/>
  </xdr:twoCellAnchor>
  <xdr:twoCellAnchor>
    <xdr:from>
      <xdr:col>2</xdr:col>
      <xdr:colOff>262453</xdr:colOff>
      <xdr:row>9</xdr:row>
      <xdr:rowOff>128981</xdr:rowOff>
    </xdr:from>
    <xdr:to>
      <xdr:col>2</xdr:col>
      <xdr:colOff>606390</xdr:colOff>
      <xdr:row>9</xdr:row>
      <xdr:rowOff>230623</xdr:rowOff>
    </xdr:to>
    <xdr:sp macro="" textlink="">
      <xdr:nvSpPr>
        <xdr:cNvPr id="478" name="Retângulo 477">
          <a:extLst>
            <a:ext uri="{FF2B5EF4-FFF2-40B4-BE49-F238E27FC236}">
              <a16:creationId xmlns:a16="http://schemas.microsoft.com/office/drawing/2014/main" id="{CD242B02-0D6D-0BC6-2188-CDEBB22AE1E2}"/>
            </a:ext>
          </a:extLst>
        </xdr:cNvPr>
        <xdr:cNvSpPr/>
      </xdr:nvSpPr>
      <xdr:spPr>
        <a:xfrm>
          <a:off x="1399500" y="2301872"/>
          <a:ext cx="343937" cy="101642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600" b="1" i="1"/>
            <a:t>Real</a:t>
          </a:r>
          <a:r>
            <a:rPr lang="pt-BR" sz="500" b="1"/>
            <a:t>           </a:t>
          </a:r>
        </a:p>
      </xdr:txBody>
    </xdr:sp>
    <xdr:clientData/>
  </xdr:twoCellAnchor>
  <xdr:twoCellAnchor editAs="oneCell">
    <xdr:from>
      <xdr:col>3</xdr:col>
      <xdr:colOff>1113182</xdr:colOff>
      <xdr:row>40</xdr:row>
      <xdr:rowOff>37271</xdr:rowOff>
    </xdr:from>
    <xdr:to>
      <xdr:col>4</xdr:col>
      <xdr:colOff>808382</xdr:colOff>
      <xdr:row>44</xdr:row>
      <xdr:rowOff>151571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EE7F50C-9EDC-B99E-C75E-6E4A2C58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9291" y="8212206"/>
          <a:ext cx="879613" cy="876300"/>
        </a:xfrm>
        <a:prstGeom prst="rect">
          <a:avLst/>
        </a:prstGeom>
      </xdr:spPr>
    </xdr:pic>
    <xdr:clientData/>
  </xdr:twoCellAnchor>
  <xdr:twoCellAnchor>
    <xdr:from>
      <xdr:col>3</xdr:col>
      <xdr:colOff>815008</xdr:colOff>
      <xdr:row>39</xdr:row>
      <xdr:rowOff>53836</xdr:rowOff>
    </xdr:from>
    <xdr:to>
      <xdr:col>5</xdr:col>
      <xdr:colOff>55729</xdr:colOff>
      <xdr:row>40</xdr:row>
      <xdr:rowOff>75608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46B7579D-C090-4934-A205-18A7BA9904C1}"/>
            </a:ext>
          </a:extLst>
        </xdr:cNvPr>
        <xdr:cNvSpPr txBox="1"/>
      </xdr:nvSpPr>
      <xdr:spPr>
        <a:xfrm>
          <a:off x="2811117" y="8038271"/>
          <a:ext cx="1526721" cy="212272"/>
        </a:xfrm>
        <a:prstGeom prst="roundRect">
          <a:avLst/>
        </a:prstGeom>
        <a:solidFill>
          <a:srgbClr val="00206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 u="sng">
              <a:solidFill>
                <a:schemeClr val="bg1"/>
              </a:solidFill>
            </a:rPr>
            <a:t>Conheça nosso</a:t>
          </a:r>
          <a:r>
            <a:rPr lang="pt-BR" sz="900" b="1" u="sng" baseline="0">
              <a:solidFill>
                <a:schemeClr val="bg1"/>
              </a:solidFill>
            </a:rPr>
            <a:t> aplicativo:</a:t>
          </a:r>
          <a:endParaRPr lang="pt-BR" sz="9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19050</xdr:rowOff>
    </xdr:from>
    <xdr:to>
      <xdr:col>5</xdr:col>
      <xdr:colOff>342900</xdr:colOff>
      <xdr:row>1</xdr:row>
      <xdr:rowOff>171449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1A4015E-88BF-4184-BF7B-CCCF18F9BA7D}"/>
            </a:ext>
          </a:extLst>
        </xdr:cNvPr>
        <xdr:cNvSpPr txBox="1"/>
      </xdr:nvSpPr>
      <xdr:spPr>
        <a:xfrm>
          <a:off x="723900" y="19050"/>
          <a:ext cx="3905250" cy="466724"/>
        </a:xfrm>
        <a:prstGeom prst="homePlate">
          <a:avLst/>
        </a:prstGeom>
        <a:solidFill>
          <a:srgbClr val="00206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 u="sng">
              <a:solidFill>
                <a:schemeClr val="bg1"/>
              </a:solidFill>
            </a:rPr>
            <a:t>Planilha</a:t>
          </a:r>
          <a:r>
            <a:rPr lang="pt-BR" sz="1200" b="1" u="sng" baseline="0">
              <a:solidFill>
                <a:schemeClr val="bg1"/>
              </a:solidFill>
            </a:rPr>
            <a:t> de acompanhamento de pesagem semanal</a:t>
          </a:r>
          <a:endParaRPr lang="pt-BR" sz="1200" b="1" u="sng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1</xdr:row>
      <xdr:rowOff>229332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7F29297-EA45-4EAD-A727-59B38828F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2" r="20401"/>
        <a:stretch/>
      </xdr:blipFill>
      <xdr:spPr>
        <a:xfrm>
          <a:off x="161925" y="0"/>
          <a:ext cx="600075" cy="543657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</xdr:pic>
    <xdr:clientData/>
  </xdr:twoCellAnchor>
  <xdr:twoCellAnchor>
    <xdr:from>
      <xdr:col>2</xdr:col>
      <xdr:colOff>3593</xdr:colOff>
      <xdr:row>8</xdr:row>
      <xdr:rowOff>32896</xdr:rowOff>
    </xdr:from>
    <xdr:to>
      <xdr:col>4</xdr:col>
      <xdr:colOff>316301</xdr:colOff>
      <xdr:row>9</xdr:row>
      <xdr:rowOff>26943</xdr:rowOff>
    </xdr:to>
    <xdr:sp macro="" textlink="">
      <xdr:nvSpPr>
        <xdr:cNvPr id="186" name="Retângulo 185">
          <a:extLst>
            <a:ext uri="{FF2B5EF4-FFF2-40B4-BE49-F238E27FC236}">
              <a16:creationId xmlns:a16="http://schemas.microsoft.com/office/drawing/2014/main" id="{49A87712-A4B4-4167-B2B3-11EF2A39C51D}"/>
            </a:ext>
          </a:extLst>
        </xdr:cNvPr>
        <xdr:cNvSpPr/>
      </xdr:nvSpPr>
      <xdr:spPr>
        <a:xfrm>
          <a:off x="1135810" y="2203877"/>
          <a:ext cx="2677783" cy="2708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PESO</a:t>
          </a:r>
          <a:r>
            <a:rPr lang="pt-BR" sz="1200" b="1" baseline="0"/>
            <a:t> DOS OVOS</a:t>
          </a:r>
          <a:endParaRPr lang="pt-BR" sz="1200" b="1"/>
        </a:p>
      </xdr:txBody>
    </xdr:sp>
    <xdr:clientData/>
  </xdr:twoCellAnchor>
  <xdr:twoCellAnchor>
    <xdr:from>
      <xdr:col>1</xdr:col>
      <xdr:colOff>233</xdr:colOff>
      <xdr:row>9</xdr:row>
      <xdr:rowOff>70375</xdr:rowOff>
    </xdr:from>
    <xdr:to>
      <xdr:col>2</xdr:col>
      <xdr:colOff>293285</xdr:colOff>
      <xdr:row>35</xdr:row>
      <xdr:rowOff>12301</xdr:rowOff>
    </xdr:to>
    <xdr:grpSp>
      <xdr:nvGrpSpPr>
        <xdr:cNvPr id="696" name="Agrupar 695">
          <a:extLst>
            <a:ext uri="{FF2B5EF4-FFF2-40B4-BE49-F238E27FC236}">
              <a16:creationId xmlns:a16="http://schemas.microsoft.com/office/drawing/2014/main" id="{457A9C20-00DB-8062-48E4-CBE33796A9DD}"/>
            </a:ext>
          </a:extLst>
        </xdr:cNvPr>
        <xdr:cNvGrpSpPr/>
      </xdr:nvGrpSpPr>
      <xdr:grpSpPr>
        <a:xfrm>
          <a:off x="157115" y="2569287"/>
          <a:ext cx="1279170" cy="4984573"/>
          <a:chOff x="152633" y="2521894"/>
          <a:chExt cx="1274127" cy="4961601"/>
        </a:xfrm>
      </xdr:grpSpPr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03E94CAF-0BAD-EDE6-5410-2B89DFC41F55}"/>
              </a:ext>
            </a:extLst>
          </xdr:cNvPr>
          <xdr:cNvGrpSpPr/>
        </xdr:nvGrpSpPr>
        <xdr:grpSpPr>
          <a:xfrm>
            <a:off x="152633" y="2521894"/>
            <a:ext cx="1274127" cy="132004"/>
            <a:chOff x="3288551" y="2664555"/>
            <a:chExt cx="1275318" cy="103386"/>
          </a:xfrm>
        </xdr:grpSpPr>
        <xdr:sp macro="" textlink="">
          <xdr:nvSpPr>
            <xdr:cNvPr id="177" name="Retângulo 176">
              <a:extLst>
                <a:ext uri="{FF2B5EF4-FFF2-40B4-BE49-F238E27FC236}">
                  <a16:creationId xmlns:a16="http://schemas.microsoft.com/office/drawing/2014/main" id="{BCD7B732-73E4-4569-8B01-3F9E1439CD90}"/>
                </a:ext>
              </a:extLst>
            </xdr:cNvPr>
            <xdr:cNvSpPr/>
          </xdr:nvSpPr>
          <xdr:spPr>
            <a:xfrm>
              <a:off x="4204213" y="2664555"/>
              <a:ext cx="359656" cy="102463"/>
            </a:xfrm>
            <a:prstGeom prst="rect">
              <a:avLst/>
            </a:prstGeom>
            <a:solidFill>
              <a:srgbClr val="00206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pt-BR" sz="600" b="1" i="1"/>
                <a:t>Tipo</a:t>
              </a:r>
              <a:endParaRPr lang="pt-BR" sz="600" b="1"/>
            </a:p>
          </xdr:txBody>
        </xdr:sp>
        <xdr:sp macro="" textlink="">
          <xdr:nvSpPr>
            <xdr:cNvPr id="178" name="Retângulo 177">
              <a:extLst>
                <a:ext uri="{FF2B5EF4-FFF2-40B4-BE49-F238E27FC236}">
                  <a16:creationId xmlns:a16="http://schemas.microsoft.com/office/drawing/2014/main" id="{FD75FC37-DC6E-48B4-A02F-529094BF918B}"/>
                </a:ext>
              </a:extLst>
            </xdr:cNvPr>
            <xdr:cNvSpPr/>
          </xdr:nvSpPr>
          <xdr:spPr>
            <a:xfrm>
              <a:off x="3831941" y="2664557"/>
              <a:ext cx="416917" cy="103384"/>
            </a:xfrm>
            <a:prstGeom prst="rect">
              <a:avLst/>
            </a:prstGeom>
            <a:solidFill>
              <a:srgbClr val="00206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pt-BR" sz="600" b="1" i="1"/>
                <a:t>Std</a:t>
              </a:r>
              <a:r>
                <a:rPr lang="pt-BR" sz="600" b="1"/>
                <a:t>.</a:t>
              </a:r>
            </a:p>
          </xdr:txBody>
        </xdr:sp>
        <xdr:sp macro="" textlink="">
          <xdr:nvSpPr>
            <xdr:cNvPr id="179" name="Retângulo 178">
              <a:extLst>
                <a:ext uri="{FF2B5EF4-FFF2-40B4-BE49-F238E27FC236}">
                  <a16:creationId xmlns:a16="http://schemas.microsoft.com/office/drawing/2014/main" id="{DF4A4EC5-3CCA-4DAA-8628-E7CCFA918022}"/>
                </a:ext>
              </a:extLst>
            </xdr:cNvPr>
            <xdr:cNvSpPr/>
          </xdr:nvSpPr>
          <xdr:spPr>
            <a:xfrm>
              <a:off x="3288551" y="2665013"/>
              <a:ext cx="391157" cy="101642"/>
            </a:xfrm>
            <a:prstGeom prst="rect">
              <a:avLst/>
            </a:prstGeom>
            <a:solidFill>
              <a:srgbClr val="00206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pt-BR" sz="800" b="1" i="1"/>
                <a:t>SEM</a:t>
              </a:r>
            </a:p>
          </xdr:txBody>
        </xdr:sp>
        <xdr:sp macro="" textlink="">
          <xdr:nvSpPr>
            <xdr:cNvPr id="180" name="Retângulo 179">
              <a:extLst>
                <a:ext uri="{FF2B5EF4-FFF2-40B4-BE49-F238E27FC236}">
                  <a16:creationId xmlns:a16="http://schemas.microsoft.com/office/drawing/2014/main" id="{7BC0AF9D-93BF-4F91-8655-1ED4A36E01D4}"/>
                </a:ext>
              </a:extLst>
            </xdr:cNvPr>
            <xdr:cNvSpPr/>
          </xdr:nvSpPr>
          <xdr:spPr>
            <a:xfrm>
              <a:off x="3590248" y="2665014"/>
              <a:ext cx="329691" cy="101642"/>
            </a:xfrm>
            <a:prstGeom prst="rect">
              <a:avLst/>
            </a:prstGeom>
            <a:solidFill>
              <a:srgbClr val="00206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pt-BR" sz="600" b="1" i="1"/>
                <a:t>Real</a:t>
              </a:r>
              <a:r>
                <a:rPr lang="pt-BR" sz="500" b="1"/>
                <a:t>           </a:t>
              </a:r>
            </a:p>
          </xdr:txBody>
        </xdr:sp>
      </xdr:grpSp>
      <xdr:sp macro="" textlink="">
        <xdr:nvSpPr>
          <xdr:cNvPr id="219" name="Retângulo 218">
            <a:extLst>
              <a:ext uri="{FF2B5EF4-FFF2-40B4-BE49-F238E27FC236}">
                <a16:creationId xmlns:a16="http://schemas.microsoft.com/office/drawing/2014/main" id="{85C66D92-DAAB-AE21-D516-E230EFF7A16A}"/>
              </a:ext>
            </a:extLst>
          </xdr:cNvPr>
          <xdr:cNvSpPr/>
        </xdr:nvSpPr>
        <xdr:spPr>
          <a:xfrm>
            <a:off x="154559" y="5831029"/>
            <a:ext cx="294185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34</a:t>
            </a:r>
          </a:p>
        </xdr:txBody>
      </xdr:sp>
      <xdr:sp macro="" textlink="$AA$3">
        <xdr:nvSpPr>
          <xdr:cNvPr id="220" name="Retângulo 219">
            <a:extLst>
              <a:ext uri="{FF2B5EF4-FFF2-40B4-BE49-F238E27FC236}">
                <a16:creationId xmlns:a16="http://schemas.microsoft.com/office/drawing/2014/main" id="{18873118-92A9-5BE2-1161-C7AA282708C1}"/>
              </a:ext>
            </a:extLst>
          </xdr:cNvPr>
          <xdr:cNvSpPr/>
        </xdr:nvSpPr>
        <xdr:spPr>
          <a:xfrm>
            <a:off x="479515" y="5827471"/>
            <a:ext cx="29418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2FA2EED-0B1B-4225-9B3B-2EF448B198F5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A$2">
        <xdr:nvSpPr>
          <xdr:cNvPr id="221" name="Retângulo 220">
            <a:extLst>
              <a:ext uri="{FF2B5EF4-FFF2-40B4-BE49-F238E27FC236}">
                <a16:creationId xmlns:a16="http://schemas.microsoft.com/office/drawing/2014/main" id="{CADE2668-5409-7BE7-C830-9DA4D52D38CF}"/>
              </a:ext>
            </a:extLst>
          </xdr:cNvPr>
          <xdr:cNvSpPr/>
        </xdr:nvSpPr>
        <xdr:spPr>
          <a:xfrm>
            <a:off x="804562" y="5832440"/>
            <a:ext cx="29535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866945C-1EC7-4F29-B73A-FCF2C069871B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59,8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22" name="Retângulo 221">
            <a:extLst>
              <a:ext uri="{FF2B5EF4-FFF2-40B4-BE49-F238E27FC236}">
                <a16:creationId xmlns:a16="http://schemas.microsoft.com/office/drawing/2014/main" id="{ABD2BCDD-B75C-D54D-77FA-15D25B06E099}"/>
              </a:ext>
            </a:extLst>
          </xdr:cNvPr>
          <xdr:cNvSpPr/>
        </xdr:nvSpPr>
        <xdr:spPr>
          <a:xfrm>
            <a:off x="154559" y="5997343"/>
            <a:ext cx="294185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35</a:t>
            </a:r>
          </a:p>
        </xdr:txBody>
      </xdr:sp>
      <xdr:sp macro="" textlink="$AB$3">
        <xdr:nvSpPr>
          <xdr:cNvPr id="223" name="Retângulo 222">
            <a:extLst>
              <a:ext uri="{FF2B5EF4-FFF2-40B4-BE49-F238E27FC236}">
                <a16:creationId xmlns:a16="http://schemas.microsoft.com/office/drawing/2014/main" id="{A1B3AFFD-E607-6AA1-C71F-424784E9A3FF}"/>
              </a:ext>
            </a:extLst>
          </xdr:cNvPr>
          <xdr:cNvSpPr/>
        </xdr:nvSpPr>
        <xdr:spPr>
          <a:xfrm>
            <a:off x="479515" y="5993788"/>
            <a:ext cx="29418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D2CB5C4-D449-40DD-8FD3-2C305A77148F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B$2">
        <xdr:nvSpPr>
          <xdr:cNvPr id="224" name="Retângulo 223">
            <a:extLst>
              <a:ext uri="{FF2B5EF4-FFF2-40B4-BE49-F238E27FC236}">
                <a16:creationId xmlns:a16="http://schemas.microsoft.com/office/drawing/2014/main" id="{C43ED0EA-5BEF-467E-D68E-7274994551BA}"/>
              </a:ext>
            </a:extLst>
          </xdr:cNvPr>
          <xdr:cNvSpPr/>
        </xdr:nvSpPr>
        <xdr:spPr>
          <a:xfrm>
            <a:off x="804562" y="5997554"/>
            <a:ext cx="29535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38F33493-473D-4AE1-881B-4910D2BC7F57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60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25" name="Retângulo 224">
            <a:extLst>
              <a:ext uri="{FF2B5EF4-FFF2-40B4-BE49-F238E27FC236}">
                <a16:creationId xmlns:a16="http://schemas.microsoft.com/office/drawing/2014/main" id="{50D047CA-381A-B0F2-F292-52EFB59D9FEA}"/>
              </a:ext>
            </a:extLst>
          </xdr:cNvPr>
          <xdr:cNvSpPr/>
        </xdr:nvSpPr>
        <xdr:spPr>
          <a:xfrm>
            <a:off x="154559" y="6161816"/>
            <a:ext cx="294185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36</a:t>
            </a:r>
          </a:p>
        </xdr:txBody>
      </xdr:sp>
      <xdr:sp macro="" textlink="$AC$3">
        <xdr:nvSpPr>
          <xdr:cNvPr id="226" name="Retângulo 225">
            <a:extLst>
              <a:ext uri="{FF2B5EF4-FFF2-40B4-BE49-F238E27FC236}">
                <a16:creationId xmlns:a16="http://schemas.microsoft.com/office/drawing/2014/main" id="{23D0621D-716F-CC5B-3403-0BF40B8306F0}"/>
              </a:ext>
            </a:extLst>
          </xdr:cNvPr>
          <xdr:cNvSpPr/>
        </xdr:nvSpPr>
        <xdr:spPr>
          <a:xfrm>
            <a:off x="479515" y="6160647"/>
            <a:ext cx="29418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566E11C-5101-47DA-A12D-88301C1F5DC1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C$2">
        <xdr:nvSpPr>
          <xdr:cNvPr id="227" name="Retângulo 226">
            <a:extLst>
              <a:ext uri="{FF2B5EF4-FFF2-40B4-BE49-F238E27FC236}">
                <a16:creationId xmlns:a16="http://schemas.microsoft.com/office/drawing/2014/main" id="{EB2A68E8-AD0E-D4CC-80C8-194E100E54C3}"/>
              </a:ext>
            </a:extLst>
          </xdr:cNvPr>
          <xdr:cNvSpPr/>
        </xdr:nvSpPr>
        <xdr:spPr>
          <a:xfrm>
            <a:off x="804562" y="6166245"/>
            <a:ext cx="29535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33895A2-A963-4103-8A8E-86BD8A24029B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60,3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28" name="Retângulo 227">
            <a:extLst>
              <a:ext uri="{FF2B5EF4-FFF2-40B4-BE49-F238E27FC236}">
                <a16:creationId xmlns:a16="http://schemas.microsoft.com/office/drawing/2014/main" id="{CAA8ECF2-B9CA-4FA3-B35A-92E398CA1184}"/>
              </a:ext>
            </a:extLst>
          </xdr:cNvPr>
          <xdr:cNvSpPr/>
        </xdr:nvSpPr>
        <xdr:spPr>
          <a:xfrm>
            <a:off x="154559" y="6330520"/>
            <a:ext cx="294185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37</a:t>
            </a:r>
          </a:p>
        </xdr:txBody>
      </xdr:sp>
      <xdr:sp macro="" textlink="$AD$3">
        <xdr:nvSpPr>
          <xdr:cNvPr id="229" name="Retângulo 228">
            <a:extLst>
              <a:ext uri="{FF2B5EF4-FFF2-40B4-BE49-F238E27FC236}">
                <a16:creationId xmlns:a16="http://schemas.microsoft.com/office/drawing/2014/main" id="{0A367AAC-78B1-AC1D-E7C3-0047DC5720E0}"/>
              </a:ext>
            </a:extLst>
          </xdr:cNvPr>
          <xdr:cNvSpPr/>
        </xdr:nvSpPr>
        <xdr:spPr>
          <a:xfrm>
            <a:off x="479515" y="6326962"/>
            <a:ext cx="29418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FC5291E4-4B45-4DCC-A9EF-D5D550699AB5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D$2">
        <xdr:nvSpPr>
          <xdr:cNvPr id="230" name="Retângulo 229">
            <a:extLst>
              <a:ext uri="{FF2B5EF4-FFF2-40B4-BE49-F238E27FC236}">
                <a16:creationId xmlns:a16="http://schemas.microsoft.com/office/drawing/2014/main" id="{9638A0EB-B756-5EBA-D584-7795792BC6A0}"/>
              </a:ext>
            </a:extLst>
          </xdr:cNvPr>
          <xdr:cNvSpPr/>
        </xdr:nvSpPr>
        <xdr:spPr>
          <a:xfrm>
            <a:off x="804562" y="6331361"/>
            <a:ext cx="29535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186F7C4E-E7C9-49C9-86E2-D3710B38982C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60,4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31" name="Retângulo 230">
            <a:extLst>
              <a:ext uri="{FF2B5EF4-FFF2-40B4-BE49-F238E27FC236}">
                <a16:creationId xmlns:a16="http://schemas.microsoft.com/office/drawing/2014/main" id="{C746FAFF-B33D-3D46-7AFF-36CF92B59E70}"/>
              </a:ext>
            </a:extLst>
          </xdr:cNvPr>
          <xdr:cNvSpPr/>
        </xdr:nvSpPr>
        <xdr:spPr>
          <a:xfrm>
            <a:off x="154559" y="6494989"/>
            <a:ext cx="294185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38</a:t>
            </a:r>
          </a:p>
        </xdr:txBody>
      </xdr:sp>
      <xdr:sp macro="" textlink="$AE$3">
        <xdr:nvSpPr>
          <xdr:cNvPr id="232" name="Retângulo 231">
            <a:extLst>
              <a:ext uri="{FF2B5EF4-FFF2-40B4-BE49-F238E27FC236}">
                <a16:creationId xmlns:a16="http://schemas.microsoft.com/office/drawing/2014/main" id="{14721456-0BF2-7ABD-DFC6-6E0033420980}"/>
              </a:ext>
            </a:extLst>
          </xdr:cNvPr>
          <xdr:cNvSpPr/>
        </xdr:nvSpPr>
        <xdr:spPr>
          <a:xfrm>
            <a:off x="479515" y="6493815"/>
            <a:ext cx="29418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26796389-489D-4C0A-A0EA-A6255FD5B9C1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E$2">
        <xdr:nvSpPr>
          <xdr:cNvPr id="233" name="Retângulo 232">
            <a:extLst>
              <a:ext uri="{FF2B5EF4-FFF2-40B4-BE49-F238E27FC236}">
                <a16:creationId xmlns:a16="http://schemas.microsoft.com/office/drawing/2014/main" id="{C1C1F92C-C49C-8E3A-DE4B-2DE669BA53EB}"/>
              </a:ext>
            </a:extLst>
          </xdr:cNvPr>
          <xdr:cNvSpPr/>
        </xdr:nvSpPr>
        <xdr:spPr>
          <a:xfrm>
            <a:off x="805775" y="6497677"/>
            <a:ext cx="29535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A09D88A-C32F-421E-B5C8-75986AD0F5BB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60,6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34" name="Retângulo 233">
            <a:extLst>
              <a:ext uri="{FF2B5EF4-FFF2-40B4-BE49-F238E27FC236}">
                <a16:creationId xmlns:a16="http://schemas.microsoft.com/office/drawing/2014/main" id="{4EA6BFF4-093C-3D55-5779-B2DBA650D321}"/>
              </a:ext>
            </a:extLst>
          </xdr:cNvPr>
          <xdr:cNvSpPr/>
        </xdr:nvSpPr>
        <xdr:spPr>
          <a:xfrm>
            <a:off x="154559" y="6661306"/>
            <a:ext cx="294185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39</a:t>
            </a:r>
          </a:p>
        </xdr:txBody>
      </xdr:sp>
      <xdr:sp macro="" textlink="$AF$3">
        <xdr:nvSpPr>
          <xdr:cNvPr id="235" name="Retângulo 234">
            <a:extLst>
              <a:ext uri="{FF2B5EF4-FFF2-40B4-BE49-F238E27FC236}">
                <a16:creationId xmlns:a16="http://schemas.microsoft.com/office/drawing/2014/main" id="{C571DC65-503C-03B9-4FC3-164414D9D160}"/>
              </a:ext>
            </a:extLst>
          </xdr:cNvPr>
          <xdr:cNvSpPr/>
        </xdr:nvSpPr>
        <xdr:spPr>
          <a:xfrm>
            <a:off x="479515" y="6660131"/>
            <a:ext cx="29418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8367CA1-70DD-4F39-9952-89659F45D763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F$2">
        <xdr:nvSpPr>
          <xdr:cNvPr id="236" name="Retângulo 235">
            <a:extLst>
              <a:ext uri="{FF2B5EF4-FFF2-40B4-BE49-F238E27FC236}">
                <a16:creationId xmlns:a16="http://schemas.microsoft.com/office/drawing/2014/main" id="{1F828048-F3D9-65D0-8C01-6AA1B4E9B5C3}"/>
              </a:ext>
            </a:extLst>
          </xdr:cNvPr>
          <xdr:cNvSpPr/>
        </xdr:nvSpPr>
        <xdr:spPr>
          <a:xfrm>
            <a:off x="805775" y="6663998"/>
            <a:ext cx="29535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C4A28A5B-27D0-404E-AEBF-DBA2A07520C9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60,8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AA$5">
        <xdr:nvSpPr>
          <xdr:cNvPr id="264" name="Retângulo 263">
            <a:extLst>
              <a:ext uri="{FF2B5EF4-FFF2-40B4-BE49-F238E27FC236}">
                <a16:creationId xmlns:a16="http://schemas.microsoft.com/office/drawing/2014/main" id="{00B1D4DE-48D1-52F5-E973-716EFF0ACB2F}"/>
              </a:ext>
            </a:extLst>
          </xdr:cNvPr>
          <xdr:cNvSpPr/>
        </xdr:nvSpPr>
        <xdr:spPr>
          <a:xfrm>
            <a:off x="1129774" y="5833872"/>
            <a:ext cx="29287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D4A21D6-A693-43C9-808D-55D1F0C922A4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B$5">
        <xdr:nvSpPr>
          <xdr:cNvPr id="265" name="Retângulo 264">
            <a:extLst>
              <a:ext uri="{FF2B5EF4-FFF2-40B4-BE49-F238E27FC236}">
                <a16:creationId xmlns:a16="http://schemas.microsoft.com/office/drawing/2014/main" id="{6234E3E8-FEBA-F375-37AD-BCB3C6B3361F}"/>
              </a:ext>
            </a:extLst>
          </xdr:cNvPr>
          <xdr:cNvSpPr/>
        </xdr:nvSpPr>
        <xdr:spPr>
          <a:xfrm>
            <a:off x="1129774" y="6000188"/>
            <a:ext cx="29287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1DDD2F5F-87C3-4989-8330-2BE92206D497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C$5">
        <xdr:nvSpPr>
          <xdr:cNvPr id="266" name="Retângulo 265">
            <a:extLst>
              <a:ext uri="{FF2B5EF4-FFF2-40B4-BE49-F238E27FC236}">
                <a16:creationId xmlns:a16="http://schemas.microsoft.com/office/drawing/2014/main" id="{CE78BBD1-41A2-F423-9ECC-02077ED8FEAF}"/>
              </a:ext>
            </a:extLst>
          </xdr:cNvPr>
          <xdr:cNvSpPr/>
        </xdr:nvSpPr>
        <xdr:spPr>
          <a:xfrm>
            <a:off x="1129774" y="6166511"/>
            <a:ext cx="29287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EAB258F-A823-4B7B-90A9-F2A3F9FE99FC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D$5">
        <xdr:nvSpPr>
          <xdr:cNvPr id="267" name="Retângulo 266">
            <a:extLst>
              <a:ext uri="{FF2B5EF4-FFF2-40B4-BE49-F238E27FC236}">
                <a16:creationId xmlns:a16="http://schemas.microsoft.com/office/drawing/2014/main" id="{3BB8D716-1A19-AC14-DA15-CE90525432F5}"/>
              </a:ext>
            </a:extLst>
          </xdr:cNvPr>
          <xdr:cNvSpPr/>
        </xdr:nvSpPr>
        <xdr:spPr>
          <a:xfrm>
            <a:off x="1129774" y="6332833"/>
            <a:ext cx="29287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3E29CE8B-4E56-49B7-AB28-A863E46ED8D5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E$5">
        <xdr:nvSpPr>
          <xdr:cNvPr id="268" name="Retângulo 267">
            <a:extLst>
              <a:ext uri="{FF2B5EF4-FFF2-40B4-BE49-F238E27FC236}">
                <a16:creationId xmlns:a16="http://schemas.microsoft.com/office/drawing/2014/main" id="{2878BFBA-9D25-442E-0CB8-5A2F9D836C4C}"/>
              </a:ext>
            </a:extLst>
          </xdr:cNvPr>
          <xdr:cNvSpPr/>
        </xdr:nvSpPr>
        <xdr:spPr>
          <a:xfrm>
            <a:off x="1129774" y="6499149"/>
            <a:ext cx="29287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F769200A-5006-4027-B513-7948EF341F6B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F$5">
        <xdr:nvSpPr>
          <xdr:cNvPr id="269" name="Retângulo 268">
            <a:extLst>
              <a:ext uri="{FF2B5EF4-FFF2-40B4-BE49-F238E27FC236}">
                <a16:creationId xmlns:a16="http://schemas.microsoft.com/office/drawing/2014/main" id="{BA94F074-B28E-E5A7-F936-28CC5E541D2F}"/>
              </a:ext>
            </a:extLst>
          </xdr:cNvPr>
          <xdr:cNvSpPr/>
        </xdr:nvSpPr>
        <xdr:spPr>
          <a:xfrm>
            <a:off x="1129774" y="6665469"/>
            <a:ext cx="29287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28BE852C-51CC-4A00-A459-2B699C0C1116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81" name="Retângulo 280">
            <a:extLst>
              <a:ext uri="{FF2B5EF4-FFF2-40B4-BE49-F238E27FC236}">
                <a16:creationId xmlns:a16="http://schemas.microsoft.com/office/drawing/2014/main" id="{7407B599-C342-3637-56A3-1DD1DB1E3B68}"/>
              </a:ext>
            </a:extLst>
          </xdr:cNvPr>
          <xdr:cNvSpPr/>
        </xdr:nvSpPr>
        <xdr:spPr>
          <a:xfrm>
            <a:off x="154834" y="3334046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19</a:t>
            </a:r>
          </a:p>
        </xdr:txBody>
      </xdr:sp>
      <xdr:sp macro="" textlink="$L$3">
        <xdr:nvSpPr>
          <xdr:cNvPr id="282" name="Retângulo 281">
            <a:extLst>
              <a:ext uri="{FF2B5EF4-FFF2-40B4-BE49-F238E27FC236}">
                <a16:creationId xmlns:a16="http://schemas.microsoft.com/office/drawing/2014/main" id="{B7188D90-6F08-6657-0134-B2AA87B1F8CA}"/>
              </a:ext>
            </a:extLst>
          </xdr:cNvPr>
          <xdr:cNvSpPr/>
        </xdr:nvSpPr>
        <xdr:spPr>
          <a:xfrm>
            <a:off x="478689" y="3332878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CDB5C60-45D8-4B1E-BA61-C7605F1D5B02}" type="TxLink">
              <a:rPr lang="en-US" sz="800" b="1" i="0" u="none" strike="noStrike">
                <a:solidFill>
                  <a:srgbClr val="002060"/>
                </a:solidFill>
                <a:latin typeface="Calibri"/>
                <a:cs typeface="Calibri"/>
              </a:rPr>
              <a:pPr algn="ctr"/>
              <a:t> 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$L$2">
        <xdr:nvSpPr>
          <xdr:cNvPr id="283" name="Retângulo 282">
            <a:extLst>
              <a:ext uri="{FF2B5EF4-FFF2-40B4-BE49-F238E27FC236}">
                <a16:creationId xmlns:a16="http://schemas.microsoft.com/office/drawing/2014/main" id="{4C841A22-D857-F622-F8AE-9EFE2C7BA1DD}"/>
              </a:ext>
            </a:extLst>
          </xdr:cNvPr>
          <xdr:cNvSpPr/>
        </xdr:nvSpPr>
        <xdr:spPr>
          <a:xfrm>
            <a:off x="805017" y="3333514"/>
            <a:ext cx="292741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3749074-2A36-41B0-A395-53378B8949D4}" type="TxLink">
              <a:rPr lang="en-US" sz="800" b="1" i="0" u="none" strike="noStrike">
                <a:solidFill>
                  <a:srgbClr val="FFFFFF"/>
                </a:solidFill>
                <a:latin typeface="Calibri"/>
                <a:cs typeface="Calibri"/>
              </a:rPr>
              <a:pPr algn="ctr"/>
              <a:t>40,8</a:t>
            </a:fld>
            <a:endParaRPr lang="pt-BR" sz="4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284" name="Retângulo 283">
            <a:extLst>
              <a:ext uri="{FF2B5EF4-FFF2-40B4-BE49-F238E27FC236}">
                <a16:creationId xmlns:a16="http://schemas.microsoft.com/office/drawing/2014/main" id="{BD46AA75-8319-E1E0-09F0-328A711CC531}"/>
              </a:ext>
            </a:extLst>
          </xdr:cNvPr>
          <xdr:cNvSpPr/>
        </xdr:nvSpPr>
        <xdr:spPr>
          <a:xfrm>
            <a:off x="154834" y="3500899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20</a:t>
            </a:r>
          </a:p>
        </xdr:txBody>
      </xdr:sp>
      <xdr:sp macro="" textlink="$M$3">
        <xdr:nvSpPr>
          <xdr:cNvPr id="285" name="Retângulo 284">
            <a:extLst>
              <a:ext uri="{FF2B5EF4-FFF2-40B4-BE49-F238E27FC236}">
                <a16:creationId xmlns:a16="http://schemas.microsoft.com/office/drawing/2014/main" id="{D99999BE-DFEC-2818-B0D6-44A7A28A142A}"/>
              </a:ext>
            </a:extLst>
          </xdr:cNvPr>
          <xdr:cNvSpPr/>
        </xdr:nvSpPr>
        <xdr:spPr>
          <a:xfrm>
            <a:off x="478689" y="3497349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566E7FA-7595-4726-A7F4-896869FD2D61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M$2">
        <xdr:nvSpPr>
          <xdr:cNvPr id="286" name="Retângulo 285">
            <a:extLst>
              <a:ext uri="{FF2B5EF4-FFF2-40B4-BE49-F238E27FC236}">
                <a16:creationId xmlns:a16="http://schemas.microsoft.com/office/drawing/2014/main" id="{9D9FD469-4B14-F6B9-5562-5077B9933115}"/>
              </a:ext>
            </a:extLst>
          </xdr:cNvPr>
          <xdr:cNvSpPr/>
        </xdr:nvSpPr>
        <xdr:spPr>
          <a:xfrm>
            <a:off x="805017" y="3501002"/>
            <a:ext cx="292739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CFC7818-34FC-43EC-BD29-8E7E224EA41C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43,7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87" name="Retângulo 286">
            <a:extLst>
              <a:ext uri="{FF2B5EF4-FFF2-40B4-BE49-F238E27FC236}">
                <a16:creationId xmlns:a16="http://schemas.microsoft.com/office/drawing/2014/main" id="{DB5AD1F5-F241-451E-272F-028B535733AA}"/>
              </a:ext>
            </a:extLst>
          </xdr:cNvPr>
          <xdr:cNvSpPr/>
        </xdr:nvSpPr>
        <xdr:spPr>
          <a:xfrm>
            <a:off x="154835" y="3667218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21</a:t>
            </a:r>
          </a:p>
        </xdr:txBody>
      </xdr:sp>
      <xdr:sp macro="" textlink="$N$3">
        <xdr:nvSpPr>
          <xdr:cNvPr id="288" name="Retângulo 287">
            <a:extLst>
              <a:ext uri="{FF2B5EF4-FFF2-40B4-BE49-F238E27FC236}">
                <a16:creationId xmlns:a16="http://schemas.microsoft.com/office/drawing/2014/main" id="{EDC202BE-5880-15B6-2D15-F39D226EEEE9}"/>
              </a:ext>
            </a:extLst>
          </xdr:cNvPr>
          <xdr:cNvSpPr/>
        </xdr:nvSpPr>
        <xdr:spPr>
          <a:xfrm>
            <a:off x="478689" y="3663675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92E0783-BDA0-4E50-8F12-D27FF556523C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N$2">
        <xdr:nvSpPr>
          <xdr:cNvPr id="289" name="Retângulo 288">
            <a:extLst>
              <a:ext uri="{FF2B5EF4-FFF2-40B4-BE49-F238E27FC236}">
                <a16:creationId xmlns:a16="http://schemas.microsoft.com/office/drawing/2014/main" id="{A6ACA18D-AE09-8D2E-CE12-B81E96110785}"/>
              </a:ext>
            </a:extLst>
          </xdr:cNvPr>
          <xdr:cNvSpPr/>
        </xdr:nvSpPr>
        <xdr:spPr>
          <a:xfrm>
            <a:off x="805017" y="3667322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48D7456-5BFB-4E4C-8B8F-23E5E94AC314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46,3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90" name="Retângulo 289">
            <a:extLst>
              <a:ext uri="{FF2B5EF4-FFF2-40B4-BE49-F238E27FC236}">
                <a16:creationId xmlns:a16="http://schemas.microsoft.com/office/drawing/2014/main" id="{858A7AB6-4F65-477D-4674-FB065CA19507}"/>
              </a:ext>
            </a:extLst>
          </xdr:cNvPr>
          <xdr:cNvSpPr/>
        </xdr:nvSpPr>
        <xdr:spPr>
          <a:xfrm>
            <a:off x="154836" y="3832903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22</a:t>
            </a:r>
          </a:p>
        </xdr:txBody>
      </xdr:sp>
      <xdr:sp macro="" textlink="$O$3">
        <xdr:nvSpPr>
          <xdr:cNvPr id="291" name="Retângulo 290">
            <a:extLst>
              <a:ext uri="{FF2B5EF4-FFF2-40B4-BE49-F238E27FC236}">
                <a16:creationId xmlns:a16="http://schemas.microsoft.com/office/drawing/2014/main" id="{6A1B01EA-0730-468F-C707-FCC2FFC7712B}"/>
              </a:ext>
            </a:extLst>
          </xdr:cNvPr>
          <xdr:cNvSpPr/>
        </xdr:nvSpPr>
        <xdr:spPr>
          <a:xfrm>
            <a:off x="478689" y="3829353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F6E3079-32FC-4546-B016-92E47232F8A0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O$2">
        <xdr:nvSpPr>
          <xdr:cNvPr id="292" name="Retângulo 291">
            <a:extLst>
              <a:ext uri="{FF2B5EF4-FFF2-40B4-BE49-F238E27FC236}">
                <a16:creationId xmlns:a16="http://schemas.microsoft.com/office/drawing/2014/main" id="{4BE19728-A9EC-D929-D4BF-6ACDCAA5DF69}"/>
              </a:ext>
            </a:extLst>
          </xdr:cNvPr>
          <xdr:cNvSpPr/>
        </xdr:nvSpPr>
        <xdr:spPr>
          <a:xfrm>
            <a:off x="805017" y="3833642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7C698D1-4B41-40A7-9B55-D1D48E6C34B6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48,7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93" name="Retângulo 292">
            <a:extLst>
              <a:ext uri="{FF2B5EF4-FFF2-40B4-BE49-F238E27FC236}">
                <a16:creationId xmlns:a16="http://schemas.microsoft.com/office/drawing/2014/main" id="{A8951271-C085-323E-85EC-0027C88EAB86}"/>
              </a:ext>
            </a:extLst>
          </xdr:cNvPr>
          <xdr:cNvSpPr/>
        </xdr:nvSpPr>
        <xdr:spPr>
          <a:xfrm>
            <a:off x="154835" y="3999224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23</a:t>
            </a:r>
          </a:p>
        </xdr:txBody>
      </xdr:sp>
      <xdr:sp macro="" textlink="$P$3">
        <xdr:nvSpPr>
          <xdr:cNvPr id="294" name="Retângulo 293">
            <a:extLst>
              <a:ext uri="{FF2B5EF4-FFF2-40B4-BE49-F238E27FC236}">
                <a16:creationId xmlns:a16="http://schemas.microsoft.com/office/drawing/2014/main" id="{93F21382-65FA-B1F5-3FC0-E1863BBCA857}"/>
              </a:ext>
            </a:extLst>
          </xdr:cNvPr>
          <xdr:cNvSpPr/>
        </xdr:nvSpPr>
        <xdr:spPr>
          <a:xfrm>
            <a:off x="478689" y="3995674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24C86C9-D2E6-4439-B86A-CD3D9741CAAE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P$2">
        <xdr:nvSpPr>
          <xdr:cNvPr id="295" name="Retângulo 294">
            <a:extLst>
              <a:ext uri="{FF2B5EF4-FFF2-40B4-BE49-F238E27FC236}">
                <a16:creationId xmlns:a16="http://schemas.microsoft.com/office/drawing/2014/main" id="{49523CB8-0EF5-4A36-1561-B2777D3E05D8}"/>
              </a:ext>
            </a:extLst>
          </xdr:cNvPr>
          <xdr:cNvSpPr/>
        </xdr:nvSpPr>
        <xdr:spPr>
          <a:xfrm>
            <a:off x="805017" y="4001131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10954A0C-9269-4882-AB5B-F0F0DD82B95B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50,8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96" name="Retângulo 295">
            <a:extLst>
              <a:ext uri="{FF2B5EF4-FFF2-40B4-BE49-F238E27FC236}">
                <a16:creationId xmlns:a16="http://schemas.microsoft.com/office/drawing/2014/main" id="{E631B31A-F9E6-5C4D-F213-163551DA111A}"/>
              </a:ext>
            </a:extLst>
          </xdr:cNvPr>
          <xdr:cNvSpPr/>
        </xdr:nvSpPr>
        <xdr:spPr>
          <a:xfrm>
            <a:off x="154836" y="4164821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24</a:t>
            </a:r>
          </a:p>
        </xdr:txBody>
      </xdr:sp>
      <xdr:sp macro="" textlink="$Q$3">
        <xdr:nvSpPr>
          <xdr:cNvPr id="297" name="Retângulo 296">
            <a:extLst>
              <a:ext uri="{FF2B5EF4-FFF2-40B4-BE49-F238E27FC236}">
                <a16:creationId xmlns:a16="http://schemas.microsoft.com/office/drawing/2014/main" id="{D77ADA5C-203C-9325-F398-78BB64274801}"/>
              </a:ext>
            </a:extLst>
          </xdr:cNvPr>
          <xdr:cNvSpPr/>
        </xdr:nvSpPr>
        <xdr:spPr>
          <a:xfrm>
            <a:off x="478689" y="4161271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80651A6-1C61-4E5E-93D7-F4F40E9E9E25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Q$2">
        <xdr:nvSpPr>
          <xdr:cNvPr id="298" name="Retângulo 297">
            <a:extLst>
              <a:ext uri="{FF2B5EF4-FFF2-40B4-BE49-F238E27FC236}">
                <a16:creationId xmlns:a16="http://schemas.microsoft.com/office/drawing/2014/main" id="{9F4314B8-8235-46A2-B48E-856D20F83437}"/>
              </a:ext>
            </a:extLst>
          </xdr:cNvPr>
          <xdr:cNvSpPr/>
        </xdr:nvSpPr>
        <xdr:spPr>
          <a:xfrm>
            <a:off x="805017" y="4166832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74C36AF-D9CE-4E39-9187-685A6453C65B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52,6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99" name="Retângulo 298">
            <a:extLst>
              <a:ext uri="{FF2B5EF4-FFF2-40B4-BE49-F238E27FC236}">
                <a16:creationId xmlns:a16="http://schemas.microsoft.com/office/drawing/2014/main" id="{6CD2A45B-2C5B-4DC1-343A-55609ACCDE02}"/>
              </a:ext>
            </a:extLst>
          </xdr:cNvPr>
          <xdr:cNvSpPr/>
        </xdr:nvSpPr>
        <xdr:spPr>
          <a:xfrm>
            <a:off x="154833" y="4332267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25</a:t>
            </a:r>
          </a:p>
        </xdr:txBody>
      </xdr:sp>
      <xdr:sp macro="" textlink="$R$3">
        <xdr:nvSpPr>
          <xdr:cNvPr id="300" name="Retângulo 299">
            <a:extLst>
              <a:ext uri="{FF2B5EF4-FFF2-40B4-BE49-F238E27FC236}">
                <a16:creationId xmlns:a16="http://schemas.microsoft.com/office/drawing/2014/main" id="{2C6C3597-7501-83B0-A6B5-A42361A3B29A}"/>
              </a:ext>
            </a:extLst>
          </xdr:cNvPr>
          <xdr:cNvSpPr/>
        </xdr:nvSpPr>
        <xdr:spPr>
          <a:xfrm>
            <a:off x="478689" y="4326336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8070CCB-3353-4307-BB52-22626A6C6B42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R$2">
        <xdr:nvSpPr>
          <xdr:cNvPr id="301" name="Retângulo 300">
            <a:extLst>
              <a:ext uri="{FF2B5EF4-FFF2-40B4-BE49-F238E27FC236}">
                <a16:creationId xmlns:a16="http://schemas.microsoft.com/office/drawing/2014/main" id="{56DF9EE7-684B-C756-A0CB-C5FE3937B239}"/>
              </a:ext>
            </a:extLst>
          </xdr:cNvPr>
          <xdr:cNvSpPr/>
        </xdr:nvSpPr>
        <xdr:spPr>
          <a:xfrm>
            <a:off x="805017" y="4334914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F7661DC-09A0-4C2B-B525-FCF837BEF66C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54,2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302" name="Retângulo 301">
            <a:extLst>
              <a:ext uri="{FF2B5EF4-FFF2-40B4-BE49-F238E27FC236}">
                <a16:creationId xmlns:a16="http://schemas.microsoft.com/office/drawing/2014/main" id="{125C3E91-D9C4-E815-AD9F-15D04C1283D5}"/>
              </a:ext>
            </a:extLst>
          </xdr:cNvPr>
          <xdr:cNvSpPr/>
        </xdr:nvSpPr>
        <xdr:spPr>
          <a:xfrm>
            <a:off x="154832" y="4497544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26</a:t>
            </a:r>
          </a:p>
        </xdr:txBody>
      </xdr:sp>
      <xdr:sp macro="" textlink="$S$3">
        <xdr:nvSpPr>
          <xdr:cNvPr id="303" name="Retângulo 302">
            <a:extLst>
              <a:ext uri="{FF2B5EF4-FFF2-40B4-BE49-F238E27FC236}">
                <a16:creationId xmlns:a16="http://schemas.microsoft.com/office/drawing/2014/main" id="{12467AF1-4155-0C1C-95DA-531CFCD4F8B9}"/>
              </a:ext>
            </a:extLst>
          </xdr:cNvPr>
          <xdr:cNvSpPr/>
        </xdr:nvSpPr>
        <xdr:spPr>
          <a:xfrm>
            <a:off x="478689" y="4493993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EE2AD74-357D-4086-A32E-9094B6A4BFDC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S$2">
        <xdr:nvSpPr>
          <xdr:cNvPr id="304" name="Retângulo 303">
            <a:extLst>
              <a:ext uri="{FF2B5EF4-FFF2-40B4-BE49-F238E27FC236}">
                <a16:creationId xmlns:a16="http://schemas.microsoft.com/office/drawing/2014/main" id="{34D37BF9-B51E-C275-8E28-8A1D01540264}"/>
              </a:ext>
            </a:extLst>
          </xdr:cNvPr>
          <xdr:cNvSpPr/>
        </xdr:nvSpPr>
        <xdr:spPr>
          <a:xfrm>
            <a:off x="805017" y="4500091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8CA771F-BECA-40E0-8071-24586F3F07F8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55,4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305" name="Retângulo 304">
            <a:extLst>
              <a:ext uri="{FF2B5EF4-FFF2-40B4-BE49-F238E27FC236}">
                <a16:creationId xmlns:a16="http://schemas.microsoft.com/office/drawing/2014/main" id="{1ED6E09B-03FF-639D-F8D8-B2241AB223D1}"/>
              </a:ext>
            </a:extLst>
          </xdr:cNvPr>
          <xdr:cNvSpPr/>
        </xdr:nvSpPr>
        <xdr:spPr>
          <a:xfrm>
            <a:off x="154836" y="4665616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27</a:t>
            </a:r>
          </a:p>
        </xdr:txBody>
      </xdr:sp>
      <xdr:sp macro="" textlink="$T$3">
        <xdr:nvSpPr>
          <xdr:cNvPr id="306" name="Retângulo 305">
            <a:extLst>
              <a:ext uri="{FF2B5EF4-FFF2-40B4-BE49-F238E27FC236}">
                <a16:creationId xmlns:a16="http://schemas.microsoft.com/office/drawing/2014/main" id="{6BB40E66-8064-EF70-7375-38677671340C}"/>
              </a:ext>
            </a:extLst>
          </xdr:cNvPr>
          <xdr:cNvSpPr/>
        </xdr:nvSpPr>
        <xdr:spPr>
          <a:xfrm>
            <a:off x="478688" y="4659677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37DE135-0F73-4E46-9B7A-2D4F18CCF51E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T$2">
        <xdr:nvSpPr>
          <xdr:cNvPr id="307" name="Retângulo 306">
            <a:extLst>
              <a:ext uri="{FF2B5EF4-FFF2-40B4-BE49-F238E27FC236}">
                <a16:creationId xmlns:a16="http://schemas.microsoft.com/office/drawing/2014/main" id="{A50112E5-8ADE-02AA-472A-58BB06C8767B}"/>
              </a:ext>
            </a:extLst>
          </xdr:cNvPr>
          <xdr:cNvSpPr/>
        </xdr:nvSpPr>
        <xdr:spPr>
          <a:xfrm>
            <a:off x="805017" y="4666411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C049DC5-E1F6-4394-AD6C-536CB2DF8535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56,4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308" name="Retângulo 307">
            <a:extLst>
              <a:ext uri="{FF2B5EF4-FFF2-40B4-BE49-F238E27FC236}">
                <a16:creationId xmlns:a16="http://schemas.microsoft.com/office/drawing/2014/main" id="{A3177E56-197F-76BA-45FC-7EB52EABE001}"/>
              </a:ext>
            </a:extLst>
          </xdr:cNvPr>
          <xdr:cNvSpPr/>
        </xdr:nvSpPr>
        <xdr:spPr>
          <a:xfrm>
            <a:off x="154836" y="4831933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28</a:t>
            </a:r>
          </a:p>
        </xdr:txBody>
      </xdr:sp>
      <xdr:sp macro="" textlink="$U$3">
        <xdr:nvSpPr>
          <xdr:cNvPr id="309" name="Retângulo 308">
            <a:extLst>
              <a:ext uri="{FF2B5EF4-FFF2-40B4-BE49-F238E27FC236}">
                <a16:creationId xmlns:a16="http://schemas.microsoft.com/office/drawing/2014/main" id="{4AADF71E-2CD5-EAFC-7935-B14F10CB3916}"/>
              </a:ext>
            </a:extLst>
          </xdr:cNvPr>
          <xdr:cNvSpPr/>
        </xdr:nvSpPr>
        <xdr:spPr>
          <a:xfrm>
            <a:off x="478689" y="4825996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7B4E9AB-3D1F-4A3E-8783-AAE455489A1F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U$2">
        <xdr:nvSpPr>
          <xdr:cNvPr id="310" name="Retângulo 309">
            <a:extLst>
              <a:ext uri="{FF2B5EF4-FFF2-40B4-BE49-F238E27FC236}">
                <a16:creationId xmlns:a16="http://schemas.microsoft.com/office/drawing/2014/main" id="{1B158BC7-F80C-8437-4A66-76F546A212C4}"/>
              </a:ext>
            </a:extLst>
          </xdr:cNvPr>
          <xdr:cNvSpPr/>
        </xdr:nvSpPr>
        <xdr:spPr>
          <a:xfrm>
            <a:off x="805017" y="4833899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F4A5D2BD-267A-4D80-BB87-42E98D8CF8F4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57,1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311" name="Retângulo 310">
            <a:extLst>
              <a:ext uri="{FF2B5EF4-FFF2-40B4-BE49-F238E27FC236}">
                <a16:creationId xmlns:a16="http://schemas.microsoft.com/office/drawing/2014/main" id="{D2455A22-05C1-CEC9-B029-633FE10C7E7C}"/>
              </a:ext>
            </a:extLst>
          </xdr:cNvPr>
          <xdr:cNvSpPr/>
        </xdr:nvSpPr>
        <xdr:spPr>
          <a:xfrm>
            <a:off x="154833" y="4999250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29</a:t>
            </a:r>
          </a:p>
        </xdr:txBody>
      </xdr:sp>
      <xdr:sp macro="" textlink="$V$3">
        <xdr:nvSpPr>
          <xdr:cNvPr id="312" name="Retângulo 311">
            <a:extLst>
              <a:ext uri="{FF2B5EF4-FFF2-40B4-BE49-F238E27FC236}">
                <a16:creationId xmlns:a16="http://schemas.microsoft.com/office/drawing/2014/main" id="{13D190E9-3F56-9CBC-E0C1-842A8EF44CB7}"/>
              </a:ext>
            </a:extLst>
          </xdr:cNvPr>
          <xdr:cNvSpPr/>
        </xdr:nvSpPr>
        <xdr:spPr>
          <a:xfrm>
            <a:off x="478689" y="4993316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827DE38-D2B1-4423-98E1-6D2A2FB836F4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V$2">
        <xdr:nvSpPr>
          <xdr:cNvPr id="313" name="Retângulo 312">
            <a:extLst>
              <a:ext uri="{FF2B5EF4-FFF2-40B4-BE49-F238E27FC236}">
                <a16:creationId xmlns:a16="http://schemas.microsoft.com/office/drawing/2014/main" id="{1838EDD8-EA54-1737-59DF-ED64430F69ED}"/>
              </a:ext>
            </a:extLst>
          </xdr:cNvPr>
          <xdr:cNvSpPr/>
        </xdr:nvSpPr>
        <xdr:spPr>
          <a:xfrm>
            <a:off x="805017" y="5001323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D8803CA-C79F-4B82-BF87-77559E7503A5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57,7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314" name="Retângulo 313">
            <a:extLst>
              <a:ext uri="{FF2B5EF4-FFF2-40B4-BE49-F238E27FC236}">
                <a16:creationId xmlns:a16="http://schemas.microsoft.com/office/drawing/2014/main" id="{C6E51D92-9194-83BD-1F36-B067D976E2D8}"/>
              </a:ext>
            </a:extLst>
          </xdr:cNvPr>
          <xdr:cNvSpPr/>
        </xdr:nvSpPr>
        <xdr:spPr>
          <a:xfrm>
            <a:off x="154835" y="5164719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30</a:t>
            </a:r>
          </a:p>
        </xdr:txBody>
      </xdr:sp>
      <xdr:sp macro="" textlink="$W$3">
        <xdr:nvSpPr>
          <xdr:cNvPr id="315" name="Retângulo 314">
            <a:extLst>
              <a:ext uri="{FF2B5EF4-FFF2-40B4-BE49-F238E27FC236}">
                <a16:creationId xmlns:a16="http://schemas.microsoft.com/office/drawing/2014/main" id="{9B61482C-C3B9-5C06-69F0-4711049F37DE}"/>
              </a:ext>
            </a:extLst>
          </xdr:cNvPr>
          <xdr:cNvSpPr/>
        </xdr:nvSpPr>
        <xdr:spPr>
          <a:xfrm>
            <a:off x="478689" y="5161167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521DD71-6576-4EFF-B572-561A08B3EFCF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W$2">
        <xdr:nvSpPr>
          <xdr:cNvPr id="316" name="Retângulo 315">
            <a:extLst>
              <a:ext uri="{FF2B5EF4-FFF2-40B4-BE49-F238E27FC236}">
                <a16:creationId xmlns:a16="http://schemas.microsoft.com/office/drawing/2014/main" id="{6C42359E-C8CA-F69A-181D-435A81A187DD}"/>
              </a:ext>
            </a:extLst>
          </xdr:cNvPr>
          <xdr:cNvSpPr/>
        </xdr:nvSpPr>
        <xdr:spPr>
          <a:xfrm>
            <a:off x="805017" y="5166366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22100818-62DE-45CA-8A74-46D9A55470E4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58,2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317" name="Retângulo 316">
            <a:extLst>
              <a:ext uri="{FF2B5EF4-FFF2-40B4-BE49-F238E27FC236}">
                <a16:creationId xmlns:a16="http://schemas.microsoft.com/office/drawing/2014/main" id="{EF3AB268-ED9E-19C2-E37F-2A5C248898B7}"/>
              </a:ext>
            </a:extLst>
          </xdr:cNvPr>
          <xdr:cNvSpPr/>
        </xdr:nvSpPr>
        <xdr:spPr>
          <a:xfrm>
            <a:off x="154836" y="5332044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31</a:t>
            </a:r>
          </a:p>
        </xdr:txBody>
      </xdr:sp>
      <xdr:sp macro="" textlink="$X$3">
        <xdr:nvSpPr>
          <xdr:cNvPr id="318" name="Retângulo 317">
            <a:extLst>
              <a:ext uri="{FF2B5EF4-FFF2-40B4-BE49-F238E27FC236}">
                <a16:creationId xmlns:a16="http://schemas.microsoft.com/office/drawing/2014/main" id="{DC7A673D-593B-F8E3-B42A-01550F11D5DB}"/>
              </a:ext>
            </a:extLst>
          </xdr:cNvPr>
          <xdr:cNvSpPr/>
        </xdr:nvSpPr>
        <xdr:spPr>
          <a:xfrm>
            <a:off x="478689" y="5326105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237B439-447B-4B55-B00E-CBE9C234E5D8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X$2">
        <xdr:nvSpPr>
          <xdr:cNvPr id="319" name="Retângulo 318">
            <a:extLst>
              <a:ext uri="{FF2B5EF4-FFF2-40B4-BE49-F238E27FC236}">
                <a16:creationId xmlns:a16="http://schemas.microsoft.com/office/drawing/2014/main" id="{F2AFA96A-87C6-F8EE-FB8C-98245A96AC05}"/>
              </a:ext>
            </a:extLst>
          </xdr:cNvPr>
          <xdr:cNvSpPr/>
        </xdr:nvSpPr>
        <xdr:spPr>
          <a:xfrm>
            <a:off x="805017" y="5331405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6B9313C-8EB2-4A2A-AC6E-56FC8AFEB71E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58,7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320" name="Retângulo 319">
            <a:extLst>
              <a:ext uri="{FF2B5EF4-FFF2-40B4-BE49-F238E27FC236}">
                <a16:creationId xmlns:a16="http://schemas.microsoft.com/office/drawing/2014/main" id="{D0838CFA-321D-D706-E6F9-0684DA47B436}"/>
              </a:ext>
            </a:extLst>
          </xdr:cNvPr>
          <xdr:cNvSpPr/>
        </xdr:nvSpPr>
        <xdr:spPr>
          <a:xfrm>
            <a:off x="154834" y="5499359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t-BR" sz="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32</a:t>
            </a:r>
          </a:p>
        </xdr:txBody>
      </xdr:sp>
      <xdr:sp macro="" textlink="$Y$3">
        <xdr:nvSpPr>
          <xdr:cNvPr id="321" name="Retângulo 320">
            <a:extLst>
              <a:ext uri="{FF2B5EF4-FFF2-40B4-BE49-F238E27FC236}">
                <a16:creationId xmlns:a16="http://schemas.microsoft.com/office/drawing/2014/main" id="{A085AC72-E973-E7F9-5B91-149BAC83B6FC}"/>
              </a:ext>
            </a:extLst>
          </xdr:cNvPr>
          <xdr:cNvSpPr/>
        </xdr:nvSpPr>
        <xdr:spPr>
          <a:xfrm>
            <a:off x="478692" y="5493424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F82DEE96-C62F-41E5-8572-0549BE69E51D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Y$2">
        <xdr:nvSpPr>
          <xdr:cNvPr id="322" name="Retângulo 321">
            <a:extLst>
              <a:ext uri="{FF2B5EF4-FFF2-40B4-BE49-F238E27FC236}">
                <a16:creationId xmlns:a16="http://schemas.microsoft.com/office/drawing/2014/main" id="{ECAB2DF1-2EF3-3A06-3C05-7098556D37B4}"/>
              </a:ext>
            </a:extLst>
          </xdr:cNvPr>
          <xdr:cNvSpPr/>
        </xdr:nvSpPr>
        <xdr:spPr>
          <a:xfrm>
            <a:off x="805017" y="5497658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5CFCCC7-7B0C-4294-BFDB-0471A3CE00C0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59,1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323" name="Retângulo 322">
            <a:extLst>
              <a:ext uri="{FF2B5EF4-FFF2-40B4-BE49-F238E27FC236}">
                <a16:creationId xmlns:a16="http://schemas.microsoft.com/office/drawing/2014/main" id="{A7D76C97-A2FB-75E8-5D1F-03E29E1810D2}"/>
              </a:ext>
            </a:extLst>
          </xdr:cNvPr>
          <xdr:cNvSpPr/>
        </xdr:nvSpPr>
        <xdr:spPr>
          <a:xfrm>
            <a:off x="154834" y="5664299"/>
            <a:ext cx="29639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33</a:t>
            </a:r>
          </a:p>
        </xdr:txBody>
      </xdr:sp>
      <xdr:sp macro="" textlink="$Z$3">
        <xdr:nvSpPr>
          <xdr:cNvPr id="324" name="Retângulo 323">
            <a:extLst>
              <a:ext uri="{FF2B5EF4-FFF2-40B4-BE49-F238E27FC236}">
                <a16:creationId xmlns:a16="http://schemas.microsoft.com/office/drawing/2014/main" id="{D96E298E-0C0C-44CA-F06E-AD872E6B8D9A}"/>
              </a:ext>
            </a:extLst>
          </xdr:cNvPr>
          <xdr:cNvSpPr/>
        </xdr:nvSpPr>
        <xdr:spPr>
          <a:xfrm>
            <a:off x="478689" y="5660743"/>
            <a:ext cx="29639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9A6872F2-9509-4028-9AFC-72F5848AC296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Z$2">
        <xdr:nvSpPr>
          <xdr:cNvPr id="325" name="Retângulo 324">
            <a:extLst>
              <a:ext uri="{FF2B5EF4-FFF2-40B4-BE49-F238E27FC236}">
                <a16:creationId xmlns:a16="http://schemas.microsoft.com/office/drawing/2014/main" id="{86952FF6-6607-6E81-EE8B-CBE897C91533}"/>
              </a:ext>
            </a:extLst>
          </xdr:cNvPr>
          <xdr:cNvSpPr/>
        </xdr:nvSpPr>
        <xdr:spPr>
          <a:xfrm>
            <a:off x="805017" y="5665083"/>
            <a:ext cx="297555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18A3ACC0-796A-4A76-9AA3-D37BF2B04A0E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59,5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L$5">
        <xdr:nvSpPr>
          <xdr:cNvPr id="326" name="Retângulo 325">
            <a:extLst>
              <a:ext uri="{FF2B5EF4-FFF2-40B4-BE49-F238E27FC236}">
                <a16:creationId xmlns:a16="http://schemas.microsoft.com/office/drawing/2014/main" id="{7DB265C2-E026-FE48-C506-F5891D823FA6}"/>
              </a:ext>
            </a:extLst>
          </xdr:cNvPr>
          <xdr:cNvSpPr/>
        </xdr:nvSpPr>
        <xdr:spPr>
          <a:xfrm>
            <a:off x="1127831" y="3336921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F4F5BEFA-1D3B-43FE-9D5C-8926FF1EACE6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M$5">
        <xdr:nvSpPr>
          <xdr:cNvPr id="327" name="Retângulo 326">
            <a:extLst>
              <a:ext uri="{FF2B5EF4-FFF2-40B4-BE49-F238E27FC236}">
                <a16:creationId xmlns:a16="http://schemas.microsoft.com/office/drawing/2014/main" id="{08B58749-2282-1CBD-7C95-EB2C41C7C638}"/>
              </a:ext>
            </a:extLst>
          </xdr:cNvPr>
          <xdr:cNvSpPr/>
        </xdr:nvSpPr>
        <xdr:spPr>
          <a:xfrm>
            <a:off x="1127831" y="3503241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2EC8E767-6727-406F-A5E7-E3A1B43E60D2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N$5">
        <xdr:nvSpPr>
          <xdr:cNvPr id="328" name="Retângulo 327">
            <a:extLst>
              <a:ext uri="{FF2B5EF4-FFF2-40B4-BE49-F238E27FC236}">
                <a16:creationId xmlns:a16="http://schemas.microsoft.com/office/drawing/2014/main" id="{551A96BA-E800-2E8B-BF57-F972C1F4767D}"/>
              </a:ext>
            </a:extLst>
          </xdr:cNvPr>
          <xdr:cNvSpPr/>
        </xdr:nvSpPr>
        <xdr:spPr>
          <a:xfrm>
            <a:off x="1127831" y="3669561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40067CB-3A55-46C5-B412-F325DFBFEFA1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O$5">
        <xdr:nvSpPr>
          <xdr:cNvPr id="329" name="Retângulo 328">
            <a:extLst>
              <a:ext uri="{FF2B5EF4-FFF2-40B4-BE49-F238E27FC236}">
                <a16:creationId xmlns:a16="http://schemas.microsoft.com/office/drawing/2014/main" id="{F78A83F2-3410-89B5-1EA7-9166A69E044B}"/>
              </a:ext>
            </a:extLst>
          </xdr:cNvPr>
          <xdr:cNvSpPr/>
        </xdr:nvSpPr>
        <xdr:spPr>
          <a:xfrm>
            <a:off x="1127831" y="3835881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AA42726-49EE-40E7-84E1-E879E9C1E36F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P$5">
        <xdr:nvSpPr>
          <xdr:cNvPr id="330" name="Retângulo 329">
            <a:extLst>
              <a:ext uri="{FF2B5EF4-FFF2-40B4-BE49-F238E27FC236}">
                <a16:creationId xmlns:a16="http://schemas.microsoft.com/office/drawing/2014/main" id="{37280997-8736-87D7-790D-1929B9404946}"/>
              </a:ext>
            </a:extLst>
          </xdr:cNvPr>
          <xdr:cNvSpPr/>
        </xdr:nvSpPr>
        <xdr:spPr>
          <a:xfrm>
            <a:off x="1127831" y="4002202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AB8E0A7-3347-4431-9392-04836CE1D03B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Q$5">
        <xdr:nvSpPr>
          <xdr:cNvPr id="331" name="Retângulo 330">
            <a:extLst>
              <a:ext uri="{FF2B5EF4-FFF2-40B4-BE49-F238E27FC236}">
                <a16:creationId xmlns:a16="http://schemas.microsoft.com/office/drawing/2014/main" id="{8C52B040-FCCA-6BE1-EC88-D02E0A972306}"/>
              </a:ext>
            </a:extLst>
          </xdr:cNvPr>
          <xdr:cNvSpPr/>
        </xdr:nvSpPr>
        <xdr:spPr>
          <a:xfrm>
            <a:off x="1127831" y="4170329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8ACCFBE-CA6F-4E6F-9682-2BF4F59AB0F5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R$5">
        <xdr:nvSpPr>
          <xdr:cNvPr id="332" name="Retângulo 331">
            <a:extLst>
              <a:ext uri="{FF2B5EF4-FFF2-40B4-BE49-F238E27FC236}">
                <a16:creationId xmlns:a16="http://schemas.microsoft.com/office/drawing/2014/main" id="{7DA2AED1-30D0-7CF8-6BEF-75725778B850}"/>
              </a:ext>
            </a:extLst>
          </xdr:cNvPr>
          <xdr:cNvSpPr/>
        </xdr:nvSpPr>
        <xdr:spPr>
          <a:xfrm>
            <a:off x="1127831" y="4336075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BD64C36-EB3B-4D1A-9A1C-3C4FB4734D5A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S$5">
        <xdr:nvSpPr>
          <xdr:cNvPr id="333" name="Retângulo 332">
            <a:extLst>
              <a:ext uri="{FF2B5EF4-FFF2-40B4-BE49-F238E27FC236}">
                <a16:creationId xmlns:a16="http://schemas.microsoft.com/office/drawing/2014/main" id="{18406E4A-190C-D941-01A4-C05C022C75B9}"/>
              </a:ext>
            </a:extLst>
          </xdr:cNvPr>
          <xdr:cNvSpPr/>
        </xdr:nvSpPr>
        <xdr:spPr>
          <a:xfrm>
            <a:off x="1127835" y="4503537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51D2D38-FF4F-451C-ABCF-48A0F73F02ED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T$5">
        <xdr:nvSpPr>
          <xdr:cNvPr id="334" name="Retângulo 333">
            <a:extLst>
              <a:ext uri="{FF2B5EF4-FFF2-40B4-BE49-F238E27FC236}">
                <a16:creationId xmlns:a16="http://schemas.microsoft.com/office/drawing/2014/main" id="{38B1BBEF-8E98-9694-A5C7-17583B475A24}"/>
              </a:ext>
            </a:extLst>
          </xdr:cNvPr>
          <xdr:cNvSpPr/>
        </xdr:nvSpPr>
        <xdr:spPr>
          <a:xfrm>
            <a:off x="1127831" y="4669863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317FF62F-AA7C-4EBA-A436-13CB034B0DEB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U$5">
        <xdr:nvSpPr>
          <xdr:cNvPr id="335" name="Retângulo 334">
            <a:extLst>
              <a:ext uri="{FF2B5EF4-FFF2-40B4-BE49-F238E27FC236}">
                <a16:creationId xmlns:a16="http://schemas.microsoft.com/office/drawing/2014/main" id="{B0BE2C5C-129C-38AB-B05B-B5C18893C99E}"/>
              </a:ext>
            </a:extLst>
          </xdr:cNvPr>
          <xdr:cNvSpPr/>
        </xdr:nvSpPr>
        <xdr:spPr>
          <a:xfrm>
            <a:off x="1127831" y="4836183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C5465A7C-093E-438C-A8F6-29A3EF00E487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V$5">
        <xdr:nvSpPr>
          <xdr:cNvPr id="336" name="Retângulo 335">
            <a:extLst>
              <a:ext uri="{FF2B5EF4-FFF2-40B4-BE49-F238E27FC236}">
                <a16:creationId xmlns:a16="http://schemas.microsoft.com/office/drawing/2014/main" id="{53227595-6418-E964-6D1F-A21E62116C5F}"/>
              </a:ext>
            </a:extLst>
          </xdr:cNvPr>
          <xdr:cNvSpPr/>
        </xdr:nvSpPr>
        <xdr:spPr>
          <a:xfrm>
            <a:off x="1127831" y="5002479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C2F39BD1-0B68-431E-9CFF-4EDBA850F4D0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W$5">
        <xdr:nvSpPr>
          <xdr:cNvPr id="337" name="Retângulo 336">
            <a:extLst>
              <a:ext uri="{FF2B5EF4-FFF2-40B4-BE49-F238E27FC236}">
                <a16:creationId xmlns:a16="http://schemas.microsoft.com/office/drawing/2014/main" id="{AFC1A27B-4F65-4EDA-E393-0512469C49B6}"/>
              </a:ext>
            </a:extLst>
          </xdr:cNvPr>
          <xdr:cNvSpPr/>
        </xdr:nvSpPr>
        <xdr:spPr>
          <a:xfrm>
            <a:off x="1127831" y="5168780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A9DB9F6-4021-417B-8B2D-89EAC6621A02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X$5">
        <xdr:nvSpPr>
          <xdr:cNvPr id="338" name="Retângulo 337">
            <a:extLst>
              <a:ext uri="{FF2B5EF4-FFF2-40B4-BE49-F238E27FC236}">
                <a16:creationId xmlns:a16="http://schemas.microsoft.com/office/drawing/2014/main" id="{EB6078E2-ABEF-6423-BA1C-00EA0943B4E3}"/>
              </a:ext>
            </a:extLst>
          </xdr:cNvPr>
          <xdr:cNvSpPr/>
        </xdr:nvSpPr>
        <xdr:spPr>
          <a:xfrm>
            <a:off x="1127831" y="5335083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DBCF28F-1A50-4935-99A4-16221E05A5E3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Y$5">
        <xdr:nvSpPr>
          <xdr:cNvPr id="339" name="Retângulo 338">
            <a:extLst>
              <a:ext uri="{FF2B5EF4-FFF2-40B4-BE49-F238E27FC236}">
                <a16:creationId xmlns:a16="http://schemas.microsoft.com/office/drawing/2014/main" id="{81B0764F-4585-F51A-8388-2BD47FBE2CEA}"/>
              </a:ext>
            </a:extLst>
          </xdr:cNvPr>
          <xdr:cNvSpPr/>
        </xdr:nvSpPr>
        <xdr:spPr>
          <a:xfrm>
            <a:off x="1127831" y="5501377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82CFCCD-7893-4C4A-B418-40C1B9EFCC56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Z$5">
        <xdr:nvSpPr>
          <xdr:cNvPr id="340" name="Retângulo 339">
            <a:extLst>
              <a:ext uri="{FF2B5EF4-FFF2-40B4-BE49-F238E27FC236}">
                <a16:creationId xmlns:a16="http://schemas.microsoft.com/office/drawing/2014/main" id="{9B67DD1F-6A7D-6B16-3FED-B812F639FB48}"/>
              </a:ext>
            </a:extLst>
          </xdr:cNvPr>
          <xdr:cNvSpPr/>
        </xdr:nvSpPr>
        <xdr:spPr>
          <a:xfrm>
            <a:off x="1127831" y="5667676"/>
            <a:ext cx="29507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C9E666A-06E1-44F3-81B2-FC1527414EB5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492" name="Retângulo 491">
            <a:extLst>
              <a:ext uri="{FF2B5EF4-FFF2-40B4-BE49-F238E27FC236}">
                <a16:creationId xmlns:a16="http://schemas.microsoft.com/office/drawing/2014/main" id="{0C968795-21FE-4316-BD58-BEB4A96BAE49}"/>
              </a:ext>
            </a:extLst>
          </xdr:cNvPr>
          <xdr:cNvSpPr/>
        </xdr:nvSpPr>
        <xdr:spPr>
          <a:xfrm>
            <a:off x="157317" y="3167699"/>
            <a:ext cx="295730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18</a:t>
            </a:r>
          </a:p>
        </xdr:txBody>
      </xdr:sp>
      <xdr:sp macro="" textlink="$K$3">
        <xdr:nvSpPr>
          <xdr:cNvPr id="493" name="Retângulo 492">
            <a:extLst>
              <a:ext uri="{FF2B5EF4-FFF2-40B4-BE49-F238E27FC236}">
                <a16:creationId xmlns:a16="http://schemas.microsoft.com/office/drawing/2014/main" id="{387E357C-3DA8-4DCA-85A9-A466E34A3FA8}"/>
              </a:ext>
            </a:extLst>
          </xdr:cNvPr>
          <xdr:cNvSpPr/>
        </xdr:nvSpPr>
        <xdr:spPr>
          <a:xfrm>
            <a:off x="478041" y="3166530"/>
            <a:ext cx="295730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5E2EB94-E876-4C0C-BDCC-5510F0F6A6A2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K$2">
        <xdr:nvSpPr>
          <xdr:cNvPr id="494" name="Retângulo 493">
            <a:extLst>
              <a:ext uri="{FF2B5EF4-FFF2-40B4-BE49-F238E27FC236}">
                <a16:creationId xmlns:a16="http://schemas.microsoft.com/office/drawing/2014/main" id="{B63B8058-0874-4556-9925-91BF22384FBD}"/>
              </a:ext>
            </a:extLst>
          </xdr:cNvPr>
          <xdr:cNvSpPr/>
        </xdr:nvSpPr>
        <xdr:spPr>
          <a:xfrm>
            <a:off x="806000" y="3167704"/>
            <a:ext cx="291758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1B5C82A9-1849-4908-9E40-D91014BE42A9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0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K$5">
        <xdr:nvSpPr>
          <xdr:cNvPr id="495" name="Retângulo 494">
            <a:extLst>
              <a:ext uri="{FF2B5EF4-FFF2-40B4-BE49-F238E27FC236}">
                <a16:creationId xmlns:a16="http://schemas.microsoft.com/office/drawing/2014/main" id="{E91DF14B-5247-4BE7-8470-D058DA6B2AC0}"/>
              </a:ext>
            </a:extLst>
          </xdr:cNvPr>
          <xdr:cNvSpPr/>
        </xdr:nvSpPr>
        <xdr:spPr>
          <a:xfrm>
            <a:off x="1129763" y="3169891"/>
            <a:ext cx="29441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3C12976-DCD2-4398-95F0-B850F88A5186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496" name="Retângulo 495">
            <a:extLst>
              <a:ext uri="{FF2B5EF4-FFF2-40B4-BE49-F238E27FC236}">
                <a16:creationId xmlns:a16="http://schemas.microsoft.com/office/drawing/2014/main" id="{21946ED4-EC0A-4D2B-85FB-CEB439B6D435}"/>
              </a:ext>
            </a:extLst>
          </xdr:cNvPr>
          <xdr:cNvSpPr/>
        </xdr:nvSpPr>
        <xdr:spPr>
          <a:xfrm>
            <a:off x="154837" y="3001761"/>
            <a:ext cx="295730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17</a:t>
            </a:r>
          </a:p>
        </xdr:txBody>
      </xdr:sp>
      <xdr:sp macro="" textlink="$J$3">
        <xdr:nvSpPr>
          <xdr:cNvPr id="497" name="Retângulo 496">
            <a:extLst>
              <a:ext uri="{FF2B5EF4-FFF2-40B4-BE49-F238E27FC236}">
                <a16:creationId xmlns:a16="http://schemas.microsoft.com/office/drawing/2014/main" id="{CDE44971-2021-4A54-BC8F-86B26796A493}"/>
              </a:ext>
            </a:extLst>
          </xdr:cNvPr>
          <xdr:cNvSpPr/>
        </xdr:nvSpPr>
        <xdr:spPr>
          <a:xfrm>
            <a:off x="477940" y="3001755"/>
            <a:ext cx="295730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CB5506F-59C7-4D18-8486-88EDADA157C1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J$2">
        <xdr:nvSpPr>
          <xdr:cNvPr id="498" name="Retângulo 497">
            <a:extLst>
              <a:ext uri="{FF2B5EF4-FFF2-40B4-BE49-F238E27FC236}">
                <a16:creationId xmlns:a16="http://schemas.microsoft.com/office/drawing/2014/main" id="{73C32040-9564-4F48-BB8C-0D5DADE018BE}"/>
              </a:ext>
            </a:extLst>
          </xdr:cNvPr>
          <xdr:cNvSpPr/>
        </xdr:nvSpPr>
        <xdr:spPr>
          <a:xfrm>
            <a:off x="804732" y="3001755"/>
            <a:ext cx="290646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212F978-0521-4441-8D17-4833CDEB53F2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0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J$5">
        <xdr:nvSpPr>
          <xdr:cNvPr id="499" name="Retângulo 498">
            <a:extLst>
              <a:ext uri="{FF2B5EF4-FFF2-40B4-BE49-F238E27FC236}">
                <a16:creationId xmlns:a16="http://schemas.microsoft.com/office/drawing/2014/main" id="{5CB248FD-21A5-41E7-B677-405BA517DE1C}"/>
              </a:ext>
            </a:extLst>
          </xdr:cNvPr>
          <xdr:cNvSpPr/>
        </xdr:nvSpPr>
        <xdr:spPr>
          <a:xfrm>
            <a:off x="1128494" y="3003416"/>
            <a:ext cx="29441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1BB870F-2D6F-4419-9344-89D7432C2D43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500" name="Retângulo 499">
            <a:extLst>
              <a:ext uri="{FF2B5EF4-FFF2-40B4-BE49-F238E27FC236}">
                <a16:creationId xmlns:a16="http://schemas.microsoft.com/office/drawing/2014/main" id="{5EDE669B-5127-438E-A3AA-B01F44A20C95}"/>
              </a:ext>
            </a:extLst>
          </xdr:cNvPr>
          <xdr:cNvSpPr/>
        </xdr:nvSpPr>
        <xdr:spPr>
          <a:xfrm>
            <a:off x="156208" y="2835407"/>
            <a:ext cx="295730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16</a:t>
            </a:r>
          </a:p>
        </xdr:txBody>
      </xdr:sp>
      <xdr:sp macro="" textlink="$I$3">
        <xdr:nvSpPr>
          <xdr:cNvPr id="501" name="Retângulo 500">
            <a:extLst>
              <a:ext uri="{FF2B5EF4-FFF2-40B4-BE49-F238E27FC236}">
                <a16:creationId xmlns:a16="http://schemas.microsoft.com/office/drawing/2014/main" id="{D4B01C29-21E9-484C-AFF5-046790A9B865}"/>
              </a:ext>
            </a:extLst>
          </xdr:cNvPr>
          <xdr:cNvSpPr/>
        </xdr:nvSpPr>
        <xdr:spPr>
          <a:xfrm>
            <a:off x="479311" y="2835408"/>
            <a:ext cx="295730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772975F-4055-40F6-BAAC-DAFDAF86B781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I$2">
        <xdr:nvSpPr>
          <xdr:cNvPr id="502" name="Retângulo 501">
            <a:extLst>
              <a:ext uri="{FF2B5EF4-FFF2-40B4-BE49-F238E27FC236}">
                <a16:creationId xmlns:a16="http://schemas.microsoft.com/office/drawing/2014/main" id="{10213088-4301-4074-BD2B-2DD087E81E65}"/>
              </a:ext>
            </a:extLst>
          </xdr:cNvPr>
          <xdr:cNvSpPr/>
        </xdr:nvSpPr>
        <xdr:spPr>
          <a:xfrm>
            <a:off x="804888" y="2835408"/>
            <a:ext cx="29242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9A0E695-4756-47FF-96B2-C5B63ED9ABAC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0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I$5">
        <xdr:nvSpPr>
          <xdr:cNvPr id="503" name="Retângulo 502">
            <a:extLst>
              <a:ext uri="{FF2B5EF4-FFF2-40B4-BE49-F238E27FC236}">
                <a16:creationId xmlns:a16="http://schemas.microsoft.com/office/drawing/2014/main" id="{1F0C185F-6848-499D-89D7-7E77E414F5C4}"/>
              </a:ext>
            </a:extLst>
          </xdr:cNvPr>
          <xdr:cNvSpPr/>
        </xdr:nvSpPr>
        <xdr:spPr>
          <a:xfrm>
            <a:off x="1128652" y="2836389"/>
            <a:ext cx="29441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7957ADE-A980-4F3D-86DF-02C055090A79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504" name="Retângulo 503">
            <a:extLst>
              <a:ext uri="{FF2B5EF4-FFF2-40B4-BE49-F238E27FC236}">
                <a16:creationId xmlns:a16="http://schemas.microsoft.com/office/drawing/2014/main" id="{09617253-A686-4C0F-8FA0-78B69B10EB06}"/>
              </a:ext>
            </a:extLst>
          </xdr:cNvPr>
          <xdr:cNvSpPr/>
        </xdr:nvSpPr>
        <xdr:spPr>
          <a:xfrm>
            <a:off x="156206" y="2670679"/>
            <a:ext cx="295730" cy="150455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15</a:t>
            </a:r>
          </a:p>
        </xdr:txBody>
      </xdr:sp>
      <xdr:sp macro="" textlink="$H$3">
        <xdr:nvSpPr>
          <xdr:cNvPr id="505" name="Retângulo 504">
            <a:extLst>
              <a:ext uri="{FF2B5EF4-FFF2-40B4-BE49-F238E27FC236}">
                <a16:creationId xmlns:a16="http://schemas.microsoft.com/office/drawing/2014/main" id="{2D23F398-44E3-4B8D-A171-A46172618BE6}"/>
              </a:ext>
            </a:extLst>
          </xdr:cNvPr>
          <xdr:cNvSpPr/>
        </xdr:nvSpPr>
        <xdr:spPr>
          <a:xfrm>
            <a:off x="479312" y="2670679"/>
            <a:ext cx="295730" cy="150455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6902CEC-AEAC-4C91-8334-46F96E4902B2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H$2">
        <xdr:nvSpPr>
          <xdr:cNvPr id="506" name="Retângulo 505">
            <a:extLst>
              <a:ext uri="{FF2B5EF4-FFF2-40B4-BE49-F238E27FC236}">
                <a16:creationId xmlns:a16="http://schemas.microsoft.com/office/drawing/2014/main" id="{1A3AE95F-D3F1-455E-A4B2-E104A6F4615B}"/>
              </a:ext>
            </a:extLst>
          </xdr:cNvPr>
          <xdr:cNvSpPr/>
        </xdr:nvSpPr>
        <xdr:spPr>
          <a:xfrm>
            <a:off x="804890" y="2670675"/>
            <a:ext cx="292424" cy="150455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05F2307-592D-45C4-BE6E-F23703547FDD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0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H$5">
        <xdr:nvSpPr>
          <xdr:cNvPr id="507" name="Retângulo 506">
            <a:extLst>
              <a:ext uri="{FF2B5EF4-FFF2-40B4-BE49-F238E27FC236}">
                <a16:creationId xmlns:a16="http://schemas.microsoft.com/office/drawing/2014/main" id="{9FAD2DEF-E511-42E1-BC35-CCE724BC6581}"/>
              </a:ext>
            </a:extLst>
          </xdr:cNvPr>
          <xdr:cNvSpPr/>
        </xdr:nvSpPr>
        <xdr:spPr>
          <a:xfrm>
            <a:off x="1128713" y="2670683"/>
            <a:ext cx="297986" cy="150455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0A129F7-B8A5-4F9E-AD5D-C46B00647103}" type="TxLink">
              <a:rPr lang="en-US" sz="9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 </a:t>
            </a:fld>
            <a:endParaRPr lang="pt-BR" sz="500" b="1">
              <a:solidFill>
                <a:schemeClr val="tx1">
                  <a:lumMod val="95000"/>
                  <a:lumOff val="5000"/>
                </a:schemeClr>
              </a:solidFill>
            </a:endParaRPr>
          </a:p>
        </xdr:txBody>
      </xdr:sp>
      <xdr:sp macro="" textlink="">
        <xdr:nvSpPr>
          <xdr:cNvPr id="79" name="Retângulo 78">
            <a:extLst>
              <a:ext uri="{FF2B5EF4-FFF2-40B4-BE49-F238E27FC236}">
                <a16:creationId xmlns:a16="http://schemas.microsoft.com/office/drawing/2014/main" id="{FC140DC5-8277-4B41-98C1-0585C14F3AEF}"/>
              </a:ext>
            </a:extLst>
          </xdr:cNvPr>
          <xdr:cNvSpPr/>
        </xdr:nvSpPr>
        <xdr:spPr>
          <a:xfrm>
            <a:off x="154109" y="6826684"/>
            <a:ext cx="293307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40</a:t>
            </a:r>
          </a:p>
        </xdr:txBody>
      </xdr:sp>
      <xdr:sp macro="" textlink="$AG$3">
        <xdr:nvSpPr>
          <xdr:cNvPr id="80" name="Retângulo 79">
            <a:extLst>
              <a:ext uri="{FF2B5EF4-FFF2-40B4-BE49-F238E27FC236}">
                <a16:creationId xmlns:a16="http://schemas.microsoft.com/office/drawing/2014/main" id="{EED0DC65-8274-4B10-B7F2-1C15F131151B}"/>
              </a:ext>
            </a:extLst>
          </xdr:cNvPr>
          <xdr:cNvSpPr/>
        </xdr:nvSpPr>
        <xdr:spPr>
          <a:xfrm>
            <a:off x="478074" y="6827900"/>
            <a:ext cx="29330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801C4A1-B54B-4A25-96E6-C58E5DEE21F1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G$2">
        <xdr:nvSpPr>
          <xdr:cNvPr id="81" name="Retângulo 80">
            <a:extLst>
              <a:ext uri="{FF2B5EF4-FFF2-40B4-BE49-F238E27FC236}">
                <a16:creationId xmlns:a16="http://schemas.microsoft.com/office/drawing/2014/main" id="{E00C4ED1-A210-42B1-9888-4513512854B3}"/>
              </a:ext>
            </a:extLst>
          </xdr:cNvPr>
          <xdr:cNvSpPr/>
        </xdr:nvSpPr>
        <xdr:spPr>
          <a:xfrm>
            <a:off x="804511" y="6828847"/>
            <a:ext cx="29817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F74581F8-5251-4A1C-AC88-A45CE5560023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60,9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82" name="Retângulo 81">
            <a:extLst>
              <a:ext uri="{FF2B5EF4-FFF2-40B4-BE49-F238E27FC236}">
                <a16:creationId xmlns:a16="http://schemas.microsoft.com/office/drawing/2014/main" id="{CAAD842E-D9ED-4AF3-A9D1-D033680C7A3E}"/>
              </a:ext>
            </a:extLst>
          </xdr:cNvPr>
          <xdr:cNvSpPr/>
        </xdr:nvSpPr>
        <xdr:spPr>
          <a:xfrm>
            <a:off x="156490" y="6993009"/>
            <a:ext cx="293307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41</a:t>
            </a:r>
          </a:p>
        </xdr:txBody>
      </xdr:sp>
      <xdr:sp macro="" textlink="$AG$5">
        <xdr:nvSpPr>
          <xdr:cNvPr id="83" name="Retângulo 82">
            <a:extLst>
              <a:ext uri="{FF2B5EF4-FFF2-40B4-BE49-F238E27FC236}">
                <a16:creationId xmlns:a16="http://schemas.microsoft.com/office/drawing/2014/main" id="{85C424C2-026D-4EE3-A0A0-D4A1B2351826}"/>
              </a:ext>
            </a:extLst>
          </xdr:cNvPr>
          <xdr:cNvSpPr/>
        </xdr:nvSpPr>
        <xdr:spPr>
          <a:xfrm>
            <a:off x="1129083" y="6831537"/>
            <a:ext cx="292003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079DB85-74EF-4115-A9D8-DB5BCEB21D99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H$5">
        <xdr:nvSpPr>
          <xdr:cNvPr id="84" name="Retângulo 83">
            <a:extLst>
              <a:ext uri="{FF2B5EF4-FFF2-40B4-BE49-F238E27FC236}">
                <a16:creationId xmlns:a16="http://schemas.microsoft.com/office/drawing/2014/main" id="{D3EC204B-96C6-4AD0-AFA0-B3638E7EFD2B}"/>
              </a:ext>
            </a:extLst>
          </xdr:cNvPr>
          <xdr:cNvSpPr/>
        </xdr:nvSpPr>
        <xdr:spPr>
          <a:xfrm>
            <a:off x="1131464" y="6997852"/>
            <a:ext cx="292003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235C1DA-740E-4C07-A815-C64A24763D32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AH$3">
        <xdr:nvSpPr>
          <xdr:cNvPr id="85" name="Retângulo 84">
            <a:extLst>
              <a:ext uri="{FF2B5EF4-FFF2-40B4-BE49-F238E27FC236}">
                <a16:creationId xmlns:a16="http://schemas.microsoft.com/office/drawing/2014/main" id="{2351F5E1-EF32-4B92-996F-C89C9A493FC6}"/>
              </a:ext>
            </a:extLst>
          </xdr:cNvPr>
          <xdr:cNvSpPr/>
        </xdr:nvSpPr>
        <xdr:spPr>
          <a:xfrm>
            <a:off x="479083" y="6993928"/>
            <a:ext cx="29330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E0B6FA75-CD68-4926-8B7A-198F7EB22045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H$2">
        <xdr:nvSpPr>
          <xdr:cNvPr id="86" name="Retângulo 85">
            <a:extLst>
              <a:ext uri="{FF2B5EF4-FFF2-40B4-BE49-F238E27FC236}">
                <a16:creationId xmlns:a16="http://schemas.microsoft.com/office/drawing/2014/main" id="{CD93B62D-7808-4713-B714-84884EE6E141}"/>
              </a:ext>
            </a:extLst>
          </xdr:cNvPr>
          <xdr:cNvSpPr/>
        </xdr:nvSpPr>
        <xdr:spPr>
          <a:xfrm>
            <a:off x="805712" y="6995509"/>
            <a:ext cx="29680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A7AA607-03DC-40E7-B92D-0E2FABC7B2EF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61,1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242" name="Retângulo 241">
            <a:extLst>
              <a:ext uri="{FF2B5EF4-FFF2-40B4-BE49-F238E27FC236}">
                <a16:creationId xmlns:a16="http://schemas.microsoft.com/office/drawing/2014/main" id="{A8587F89-8058-4905-B6F8-CFFB103FA89C}"/>
              </a:ext>
            </a:extLst>
          </xdr:cNvPr>
          <xdr:cNvSpPr/>
        </xdr:nvSpPr>
        <xdr:spPr>
          <a:xfrm>
            <a:off x="156577" y="7159777"/>
            <a:ext cx="29230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42</a:t>
            </a:r>
          </a:p>
        </xdr:txBody>
      </xdr:sp>
      <xdr:sp macro="" textlink="$AI$3">
        <xdr:nvSpPr>
          <xdr:cNvPr id="243" name="Retângulo 242">
            <a:extLst>
              <a:ext uri="{FF2B5EF4-FFF2-40B4-BE49-F238E27FC236}">
                <a16:creationId xmlns:a16="http://schemas.microsoft.com/office/drawing/2014/main" id="{1116C73B-BC3B-4BB7-9C35-50DEA40DE65C}"/>
              </a:ext>
            </a:extLst>
          </xdr:cNvPr>
          <xdr:cNvSpPr/>
        </xdr:nvSpPr>
        <xdr:spPr>
          <a:xfrm>
            <a:off x="479217" y="7160976"/>
            <a:ext cx="29230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4CF94BC-8ED8-4621-9C0F-031D7ADF76CC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I$2">
        <xdr:nvSpPr>
          <xdr:cNvPr id="244" name="Retângulo 243">
            <a:extLst>
              <a:ext uri="{FF2B5EF4-FFF2-40B4-BE49-F238E27FC236}">
                <a16:creationId xmlns:a16="http://schemas.microsoft.com/office/drawing/2014/main" id="{0009B04D-B8FA-4416-A156-C832143F8A8F}"/>
              </a:ext>
            </a:extLst>
          </xdr:cNvPr>
          <xdr:cNvSpPr/>
        </xdr:nvSpPr>
        <xdr:spPr>
          <a:xfrm>
            <a:off x="804521" y="7163198"/>
            <a:ext cx="297998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2830EB33-DFC0-4F5C-BE38-A60C80DA9EC6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61,2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AI$5">
        <xdr:nvSpPr>
          <xdr:cNvPr id="245" name="Retângulo 244">
            <a:extLst>
              <a:ext uri="{FF2B5EF4-FFF2-40B4-BE49-F238E27FC236}">
                <a16:creationId xmlns:a16="http://schemas.microsoft.com/office/drawing/2014/main" id="{1F41BEED-BE97-4644-B074-09665E4C5713}"/>
              </a:ext>
            </a:extLst>
          </xdr:cNvPr>
          <xdr:cNvSpPr/>
        </xdr:nvSpPr>
        <xdr:spPr>
          <a:xfrm>
            <a:off x="1132584" y="7165933"/>
            <a:ext cx="293907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7E5E9569-7819-4C88-BEDC-56E3E88BF2A6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91687286-BA65-4326-B394-B251ED13143F}"/>
              </a:ext>
            </a:extLst>
          </xdr:cNvPr>
          <xdr:cNvSpPr/>
        </xdr:nvSpPr>
        <xdr:spPr>
          <a:xfrm>
            <a:off x="156493" y="7326438"/>
            <a:ext cx="292304" cy="15207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800" b="1"/>
              <a:t>43</a:t>
            </a:r>
          </a:p>
        </xdr:txBody>
      </xdr:sp>
      <xdr:sp macro="" textlink="$AJ$3">
        <xdr:nvSpPr>
          <xdr:cNvPr id="78" name="Retângulo 77">
            <a:extLst>
              <a:ext uri="{FF2B5EF4-FFF2-40B4-BE49-F238E27FC236}">
                <a16:creationId xmlns:a16="http://schemas.microsoft.com/office/drawing/2014/main" id="{E1824A80-62B3-4141-B287-AAD7C6208BD7}"/>
              </a:ext>
            </a:extLst>
          </xdr:cNvPr>
          <xdr:cNvSpPr/>
        </xdr:nvSpPr>
        <xdr:spPr>
          <a:xfrm>
            <a:off x="479320" y="7327640"/>
            <a:ext cx="292304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A21A5DB-3A77-46F1-90A3-978BF5200D43}" type="TxLink">
              <a:rPr lang="en-US" sz="800" b="1" i="0" u="none" strike="noStrike">
                <a:solidFill>
                  <a:srgbClr val="00206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endParaRPr>
          </a:p>
        </xdr:txBody>
      </xdr:sp>
      <xdr:sp macro="" textlink="$AJ$2">
        <xdr:nvSpPr>
          <xdr:cNvPr id="87" name="Retângulo 86">
            <a:extLst>
              <a:ext uri="{FF2B5EF4-FFF2-40B4-BE49-F238E27FC236}">
                <a16:creationId xmlns:a16="http://schemas.microsoft.com/office/drawing/2014/main" id="{CB9DC852-ECF8-4C65-BB51-7636AE22158E}"/>
              </a:ext>
            </a:extLst>
          </xdr:cNvPr>
          <xdr:cNvSpPr/>
        </xdr:nvSpPr>
        <xdr:spPr>
          <a:xfrm>
            <a:off x="804626" y="7329867"/>
            <a:ext cx="297893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FC291A6-EC9F-4086-A79F-E173BD19DC5C}" type="TxLink">
              <a:rPr lang="en-US" sz="800" b="1" i="0" u="none" strike="noStrike">
                <a:solidFill>
                  <a:srgbClr val="FFFFFF"/>
                </a:solidFill>
                <a:latin typeface="Calibri"/>
                <a:ea typeface="+mn-ea"/>
                <a:cs typeface="Calibri"/>
              </a:rPr>
              <a:pPr marL="0" indent="0" algn="ctr"/>
              <a:t>61,4</a:t>
            </a:fld>
            <a:endParaRPr lang="pt-BR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endParaRPr>
          </a:p>
        </xdr:txBody>
      </xdr:sp>
      <xdr:sp macro="" textlink="$AJ$5">
        <xdr:nvSpPr>
          <xdr:cNvPr id="88" name="Retângulo 87">
            <a:extLst>
              <a:ext uri="{FF2B5EF4-FFF2-40B4-BE49-F238E27FC236}">
                <a16:creationId xmlns:a16="http://schemas.microsoft.com/office/drawing/2014/main" id="{6D2E47E3-4AE4-4297-9095-9A00B1F19001}"/>
              </a:ext>
            </a:extLst>
          </xdr:cNvPr>
          <xdr:cNvSpPr/>
        </xdr:nvSpPr>
        <xdr:spPr>
          <a:xfrm>
            <a:off x="1132599" y="7331422"/>
            <a:ext cx="291512" cy="152073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68EC5551-CEBA-4696-B747-18CF884EA11C}" type="TxLink">
              <a:rPr lang="en-US" sz="9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 </a:t>
            </a:fld>
            <a:endParaRPr lang="pt-BR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2</xdr:col>
      <xdr:colOff>629727</xdr:colOff>
      <xdr:row>9</xdr:row>
      <xdr:rowOff>70375</xdr:rowOff>
    </xdr:from>
    <xdr:to>
      <xdr:col>3</xdr:col>
      <xdr:colOff>722754</xdr:colOff>
      <xdr:row>9</xdr:row>
      <xdr:rowOff>202394</xdr:rowOff>
    </xdr:to>
    <xdr:grpSp>
      <xdr:nvGrpSpPr>
        <xdr:cNvPr id="698" name="Agrupar 697">
          <a:extLst>
            <a:ext uri="{FF2B5EF4-FFF2-40B4-BE49-F238E27FC236}">
              <a16:creationId xmlns:a16="http://schemas.microsoft.com/office/drawing/2014/main" id="{5EAB90BC-D35C-6B6F-0FB1-36896AC41F7D}"/>
            </a:ext>
          </a:extLst>
        </xdr:cNvPr>
        <xdr:cNvGrpSpPr/>
      </xdr:nvGrpSpPr>
      <xdr:grpSpPr>
        <a:xfrm>
          <a:off x="1772727" y="2569287"/>
          <a:ext cx="1269645" cy="132019"/>
          <a:chOff x="3288551" y="2664555"/>
          <a:chExt cx="1275318" cy="103386"/>
        </a:xfrm>
      </xdr:grpSpPr>
      <xdr:sp macro="" textlink="">
        <xdr:nvSpPr>
          <xdr:cNvPr id="815" name="Retângulo 814">
            <a:extLst>
              <a:ext uri="{FF2B5EF4-FFF2-40B4-BE49-F238E27FC236}">
                <a16:creationId xmlns:a16="http://schemas.microsoft.com/office/drawing/2014/main" id="{C988E0B5-AB36-D290-8BDE-A1A151AE72AC}"/>
              </a:ext>
            </a:extLst>
          </xdr:cNvPr>
          <xdr:cNvSpPr/>
        </xdr:nvSpPr>
        <xdr:spPr>
          <a:xfrm>
            <a:off x="4204213" y="2664555"/>
            <a:ext cx="359656" cy="10246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600" b="1" i="1"/>
              <a:t>Tipo</a:t>
            </a:r>
            <a:endParaRPr lang="pt-BR" sz="600" b="1"/>
          </a:p>
        </xdr:txBody>
      </xdr:sp>
      <xdr:sp macro="" textlink="">
        <xdr:nvSpPr>
          <xdr:cNvPr id="816" name="Retângulo 815">
            <a:extLst>
              <a:ext uri="{FF2B5EF4-FFF2-40B4-BE49-F238E27FC236}">
                <a16:creationId xmlns:a16="http://schemas.microsoft.com/office/drawing/2014/main" id="{2446293A-E722-E5CE-85D3-722B69ED091E}"/>
              </a:ext>
            </a:extLst>
          </xdr:cNvPr>
          <xdr:cNvSpPr/>
        </xdr:nvSpPr>
        <xdr:spPr>
          <a:xfrm>
            <a:off x="3831941" y="2664557"/>
            <a:ext cx="416917" cy="103384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600" b="1" i="1"/>
              <a:t>Std</a:t>
            </a:r>
            <a:r>
              <a:rPr lang="pt-BR" sz="600" b="1"/>
              <a:t>.</a:t>
            </a:r>
          </a:p>
        </xdr:txBody>
      </xdr:sp>
      <xdr:sp macro="" textlink="">
        <xdr:nvSpPr>
          <xdr:cNvPr id="817" name="Retângulo 816">
            <a:extLst>
              <a:ext uri="{FF2B5EF4-FFF2-40B4-BE49-F238E27FC236}">
                <a16:creationId xmlns:a16="http://schemas.microsoft.com/office/drawing/2014/main" id="{C3874540-DABF-1192-CC94-700F0993F500}"/>
              </a:ext>
            </a:extLst>
          </xdr:cNvPr>
          <xdr:cNvSpPr/>
        </xdr:nvSpPr>
        <xdr:spPr>
          <a:xfrm>
            <a:off x="3288551" y="2665013"/>
            <a:ext cx="391157" cy="101642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800" b="1" i="1"/>
              <a:t>SEM</a:t>
            </a:r>
          </a:p>
        </xdr:txBody>
      </xdr:sp>
      <xdr:sp macro="" textlink="">
        <xdr:nvSpPr>
          <xdr:cNvPr id="818" name="Retângulo 817">
            <a:extLst>
              <a:ext uri="{FF2B5EF4-FFF2-40B4-BE49-F238E27FC236}">
                <a16:creationId xmlns:a16="http://schemas.microsoft.com/office/drawing/2014/main" id="{3B3BD1DD-7780-B896-F50C-C6BBDECB07C9}"/>
              </a:ext>
            </a:extLst>
          </xdr:cNvPr>
          <xdr:cNvSpPr/>
        </xdr:nvSpPr>
        <xdr:spPr>
          <a:xfrm>
            <a:off x="3590248" y="2665014"/>
            <a:ext cx="329691" cy="101642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600" b="1" i="1"/>
              <a:t>Real</a:t>
            </a:r>
            <a:r>
              <a:rPr lang="pt-BR" sz="500" b="1"/>
              <a:t>           </a:t>
            </a:r>
          </a:p>
        </xdr:txBody>
      </xdr:sp>
    </xdr:grpSp>
    <xdr:clientData/>
  </xdr:twoCellAnchor>
  <xdr:twoCellAnchor>
    <xdr:from>
      <xdr:col>2</xdr:col>
      <xdr:colOff>631646</xdr:colOff>
      <xdr:row>26</xdr:row>
      <xdr:rowOff>74148</xdr:rowOff>
    </xdr:from>
    <xdr:to>
      <xdr:col>2</xdr:col>
      <xdr:colOff>924796</xdr:colOff>
      <xdr:row>27</xdr:row>
      <xdr:rowOff>35738</xdr:rowOff>
    </xdr:to>
    <xdr:sp macro="" textlink="">
      <xdr:nvSpPr>
        <xdr:cNvPr id="699" name="Retângulo 698">
          <a:extLst>
            <a:ext uri="{FF2B5EF4-FFF2-40B4-BE49-F238E27FC236}">
              <a16:creationId xmlns:a16="http://schemas.microsoft.com/office/drawing/2014/main" id="{00290C54-5CAE-A06C-D5E5-4F6EF3485924}"/>
            </a:ext>
          </a:extLst>
        </xdr:cNvPr>
        <xdr:cNvSpPr/>
      </xdr:nvSpPr>
      <xdr:spPr>
        <a:xfrm>
          <a:off x="1774646" y="5833972"/>
          <a:ext cx="29315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63</a:t>
          </a:r>
        </a:p>
      </xdr:txBody>
    </xdr:sp>
    <xdr:clientData/>
  </xdr:twoCellAnchor>
  <xdr:twoCellAnchor>
    <xdr:from>
      <xdr:col>2</xdr:col>
      <xdr:colOff>955459</xdr:colOff>
      <xdr:row>26</xdr:row>
      <xdr:rowOff>70590</xdr:rowOff>
    </xdr:from>
    <xdr:to>
      <xdr:col>3</xdr:col>
      <xdr:colOff>71991</xdr:colOff>
      <xdr:row>27</xdr:row>
      <xdr:rowOff>32180</xdr:rowOff>
    </xdr:to>
    <xdr:sp macro="" textlink="$BD$3">
      <xdr:nvSpPr>
        <xdr:cNvPr id="700" name="Retângulo 699">
          <a:extLst>
            <a:ext uri="{FF2B5EF4-FFF2-40B4-BE49-F238E27FC236}">
              <a16:creationId xmlns:a16="http://schemas.microsoft.com/office/drawing/2014/main" id="{9942D79E-1D43-84F9-8F53-17987BF65D98}"/>
            </a:ext>
          </a:extLst>
        </xdr:cNvPr>
        <xdr:cNvSpPr/>
      </xdr:nvSpPr>
      <xdr:spPr>
        <a:xfrm>
          <a:off x="2098459" y="5830414"/>
          <a:ext cx="29315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E87D77E-1ACE-4C6C-AE84-9F8E1D7455C2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102745</xdr:colOff>
      <xdr:row>26</xdr:row>
      <xdr:rowOff>75559</xdr:rowOff>
    </xdr:from>
    <xdr:to>
      <xdr:col>3</xdr:col>
      <xdr:colOff>397062</xdr:colOff>
      <xdr:row>27</xdr:row>
      <xdr:rowOff>37149</xdr:rowOff>
    </xdr:to>
    <xdr:sp macro="" textlink="$BD$2">
      <xdr:nvSpPr>
        <xdr:cNvPr id="701" name="Retângulo 700">
          <a:extLst>
            <a:ext uri="{FF2B5EF4-FFF2-40B4-BE49-F238E27FC236}">
              <a16:creationId xmlns:a16="http://schemas.microsoft.com/office/drawing/2014/main" id="{810BC9A9-B6DE-062D-7D9F-6D0C0EBCEBFB}"/>
            </a:ext>
          </a:extLst>
        </xdr:cNvPr>
        <xdr:cNvSpPr/>
      </xdr:nvSpPr>
      <xdr:spPr>
        <a:xfrm>
          <a:off x="2422363" y="5835383"/>
          <a:ext cx="2943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12426E5-C2F0-4D71-A92C-5836D06DBD93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63,4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631646</xdr:colOff>
      <xdr:row>27</xdr:row>
      <xdr:rowOff>49981</xdr:rowOff>
    </xdr:from>
    <xdr:to>
      <xdr:col>2</xdr:col>
      <xdr:colOff>924796</xdr:colOff>
      <xdr:row>28</xdr:row>
      <xdr:rowOff>11571</xdr:rowOff>
    </xdr:to>
    <xdr:sp macro="" textlink="">
      <xdr:nvSpPr>
        <xdr:cNvPr id="702" name="Retângulo 701">
          <a:extLst>
            <a:ext uri="{FF2B5EF4-FFF2-40B4-BE49-F238E27FC236}">
              <a16:creationId xmlns:a16="http://schemas.microsoft.com/office/drawing/2014/main" id="{92D8E0FB-8157-234C-73EA-5535A8478248}"/>
            </a:ext>
          </a:extLst>
        </xdr:cNvPr>
        <xdr:cNvSpPr/>
      </xdr:nvSpPr>
      <xdr:spPr>
        <a:xfrm>
          <a:off x="1774646" y="6000305"/>
          <a:ext cx="29315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64</a:t>
          </a:r>
        </a:p>
      </xdr:txBody>
    </xdr:sp>
    <xdr:clientData/>
  </xdr:twoCellAnchor>
  <xdr:twoCellAnchor>
    <xdr:from>
      <xdr:col>2</xdr:col>
      <xdr:colOff>955459</xdr:colOff>
      <xdr:row>27</xdr:row>
      <xdr:rowOff>46426</xdr:rowOff>
    </xdr:from>
    <xdr:to>
      <xdr:col>3</xdr:col>
      <xdr:colOff>71991</xdr:colOff>
      <xdr:row>28</xdr:row>
      <xdr:rowOff>8016</xdr:rowOff>
    </xdr:to>
    <xdr:sp macro="" textlink="$BE$3">
      <xdr:nvSpPr>
        <xdr:cNvPr id="703" name="Retângulo 702">
          <a:extLst>
            <a:ext uri="{FF2B5EF4-FFF2-40B4-BE49-F238E27FC236}">
              <a16:creationId xmlns:a16="http://schemas.microsoft.com/office/drawing/2014/main" id="{3208EF4A-425D-3687-D25B-A06EAE7CF079}"/>
            </a:ext>
          </a:extLst>
        </xdr:cNvPr>
        <xdr:cNvSpPr/>
      </xdr:nvSpPr>
      <xdr:spPr>
        <a:xfrm>
          <a:off x="2098459" y="5996750"/>
          <a:ext cx="29315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D46B7C8-64DB-452C-8A06-AAE399B9CA16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102745</xdr:colOff>
      <xdr:row>27</xdr:row>
      <xdr:rowOff>50192</xdr:rowOff>
    </xdr:from>
    <xdr:to>
      <xdr:col>3</xdr:col>
      <xdr:colOff>397062</xdr:colOff>
      <xdr:row>28</xdr:row>
      <xdr:rowOff>11782</xdr:rowOff>
    </xdr:to>
    <xdr:sp macro="" textlink="$BE$2">
      <xdr:nvSpPr>
        <xdr:cNvPr id="704" name="Retângulo 703">
          <a:extLst>
            <a:ext uri="{FF2B5EF4-FFF2-40B4-BE49-F238E27FC236}">
              <a16:creationId xmlns:a16="http://schemas.microsoft.com/office/drawing/2014/main" id="{6730756D-76EC-F742-AA86-1FC9DB6B9CA1}"/>
            </a:ext>
          </a:extLst>
        </xdr:cNvPr>
        <xdr:cNvSpPr/>
      </xdr:nvSpPr>
      <xdr:spPr>
        <a:xfrm>
          <a:off x="2422363" y="6000516"/>
          <a:ext cx="2943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9FB51E9-E16F-467B-8B9F-09114CFED4A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63,5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631646</xdr:colOff>
      <xdr:row>28</xdr:row>
      <xdr:rowOff>23973</xdr:rowOff>
    </xdr:from>
    <xdr:to>
      <xdr:col>2</xdr:col>
      <xdr:colOff>924796</xdr:colOff>
      <xdr:row>28</xdr:row>
      <xdr:rowOff>176063</xdr:rowOff>
    </xdr:to>
    <xdr:sp macro="" textlink="">
      <xdr:nvSpPr>
        <xdr:cNvPr id="705" name="Retângulo 704">
          <a:extLst>
            <a:ext uri="{FF2B5EF4-FFF2-40B4-BE49-F238E27FC236}">
              <a16:creationId xmlns:a16="http://schemas.microsoft.com/office/drawing/2014/main" id="{76E3CC8B-6D87-293F-1D6B-ED0802A11840}"/>
            </a:ext>
          </a:extLst>
        </xdr:cNvPr>
        <xdr:cNvSpPr/>
      </xdr:nvSpPr>
      <xdr:spPr>
        <a:xfrm>
          <a:off x="1774646" y="6164797"/>
          <a:ext cx="29315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65</a:t>
          </a:r>
        </a:p>
      </xdr:txBody>
    </xdr:sp>
    <xdr:clientData/>
  </xdr:twoCellAnchor>
  <xdr:twoCellAnchor>
    <xdr:from>
      <xdr:col>2</xdr:col>
      <xdr:colOff>955459</xdr:colOff>
      <xdr:row>28</xdr:row>
      <xdr:rowOff>22803</xdr:rowOff>
    </xdr:from>
    <xdr:to>
      <xdr:col>3</xdr:col>
      <xdr:colOff>71991</xdr:colOff>
      <xdr:row>28</xdr:row>
      <xdr:rowOff>174893</xdr:rowOff>
    </xdr:to>
    <xdr:sp macro="" textlink="$BF$3">
      <xdr:nvSpPr>
        <xdr:cNvPr id="706" name="Retângulo 705">
          <a:extLst>
            <a:ext uri="{FF2B5EF4-FFF2-40B4-BE49-F238E27FC236}">
              <a16:creationId xmlns:a16="http://schemas.microsoft.com/office/drawing/2014/main" id="{7357E910-33EC-1052-48EC-A4E9728A9642}"/>
            </a:ext>
          </a:extLst>
        </xdr:cNvPr>
        <xdr:cNvSpPr/>
      </xdr:nvSpPr>
      <xdr:spPr>
        <a:xfrm>
          <a:off x="2098459" y="6163627"/>
          <a:ext cx="29315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A0201BB-FC56-4458-BD8E-EDE874D16796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102745</xdr:colOff>
      <xdr:row>28</xdr:row>
      <xdr:rowOff>28402</xdr:rowOff>
    </xdr:from>
    <xdr:to>
      <xdr:col>3</xdr:col>
      <xdr:colOff>397062</xdr:colOff>
      <xdr:row>28</xdr:row>
      <xdr:rowOff>180492</xdr:rowOff>
    </xdr:to>
    <xdr:sp macro="" textlink="$BF$2">
      <xdr:nvSpPr>
        <xdr:cNvPr id="707" name="Retângulo 706">
          <a:extLst>
            <a:ext uri="{FF2B5EF4-FFF2-40B4-BE49-F238E27FC236}">
              <a16:creationId xmlns:a16="http://schemas.microsoft.com/office/drawing/2014/main" id="{29122C50-789A-4221-BB33-3C94A61F846D}"/>
            </a:ext>
          </a:extLst>
        </xdr:cNvPr>
        <xdr:cNvSpPr/>
      </xdr:nvSpPr>
      <xdr:spPr>
        <a:xfrm>
          <a:off x="2422363" y="6169226"/>
          <a:ext cx="2943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677DFC4-405E-4801-9DEC-EE5B5765B7C9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63,6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631646</xdr:colOff>
      <xdr:row>29</xdr:row>
      <xdr:rowOff>2196</xdr:rowOff>
    </xdr:from>
    <xdr:to>
      <xdr:col>2</xdr:col>
      <xdr:colOff>924796</xdr:colOff>
      <xdr:row>29</xdr:row>
      <xdr:rowOff>154286</xdr:rowOff>
    </xdr:to>
    <xdr:sp macro="" textlink="">
      <xdr:nvSpPr>
        <xdr:cNvPr id="708" name="Retângulo 707">
          <a:extLst>
            <a:ext uri="{FF2B5EF4-FFF2-40B4-BE49-F238E27FC236}">
              <a16:creationId xmlns:a16="http://schemas.microsoft.com/office/drawing/2014/main" id="{DEFA0F71-FCCD-F40C-22AB-174C1F01568A}"/>
            </a:ext>
          </a:extLst>
        </xdr:cNvPr>
        <xdr:cNvSpPr/>
      </xdr:nvSpPr>
      <xdr:spPr>
        <a:xfrm>
          <a:off x="1774646" y="6333520"/>
          <a:ext cx="29315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66</a:t>
          </a:r>
        </a:p>
      </xdr:txBody>
    </xdr:sp>
    <xdr:clientData/>
  </xdr:twoCellAnchor>
  <xdr:twoCellAnchor>
    <xdr:from>
      <xdr:col>2</xdr:col>
      <xdr:colOff>955459</xdr:colOff>
      <xdr:row>28</xdr:row>
      <xdr:rowOff>189137</xdr:rowOff>
    </xdr:from>
    <xdr:to>
      <xdr:col>3</xdr:col>
      <xdr:colOff>71991</xdr:colOff>
      <xdr:row>29</xdr:row>
      <xdr:rowOff>150727</xdr:rowOff>
    </xdr:to>
    <xdr:sp macro="" textlink="$BG$3">
      <xdr:nvSpPr>
        <xdr:cNvPr id="709" name="Retângulo 708">
          <a:extLst>
            <a:ext uri="{FF2B5EF4-FFF2-40B4-BE49-F238E27FC236}">
              <a16:creationId xmlns:a16="http://schemas.microsoft.com/office/drawing/2014/main" id="{91D65F7A-9FC4-B742-95F5-75EC4BBD44FA}"/>
            </a:ext>
          </a:extLst>
        </xdr:cNvPr>
        <xdr:cNvSpPr/>
      </xdr:nvSpPr>
      <xdr:spPr>
        <a:xfrm>
          <a:off x="2098459" y="6329961"/>
          <a:ext cx="29315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3BB45DE-2BFC-4FAB-B954-1F5F2D09F853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102745</xdr:colOff>
      <xdr:row>29</xdr:row>
      <xdr:rowOff>3037</xdr:rowOff>
    </xdr:from>
    <xdr:to>
      <xdr:col>3</xdr:col>
      <xdr:colOff>397062</xdr:colOff>
      <xdr:row>29</xdr:row>
      <xdr:rowOff>155127</xdr:rowOff>
    </xdr:to>
    <xdr:sp macro="" textlink="$BG$2">
      <xdr:nvSpPr>
        <xdr:cNvPr id="710" name="Retângulo 709">
          <a:extLst>
            <a:ext uri="{FF2B5EF4-FFF2-40B4-BE49-F238E27FC236}">
              <a16:creationId xmlns:a16="http://schemas.microsoft.com/office/drawing/2014/main" id="{235FBE14-D27D-B7CB-B4B1-6CA011AB485F}"/>
            </a:ext>
          </a:extLst>
        </xdr:cNvPr>
        <xdr:cNvSpPr/>
      </xdr:nvSpPr>
      <xdr:spPr>
        <a:xfrm>
          <a:off x="2422363" y="6334361"/>
          <a:ext cx="2943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F88EE43-B444-4D42-AA47-7035C828B565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63,6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631646</xdr:colOff>
      <xdr:row>29</xdr:row>
      <xdr:rowOff>166683</xdr:rowOff>
    </xdr:from>
    <xdr:to>
      <xdr:col>2</xdr:col>
      <xdr:colOff>924796</xdr:colOff>
      <xdr:row>30</xdr:row>
      <xdr:rowOff>128273</xdr:rowOff>
    </xdr:to>
    <xdr:sp macro="" textlink="">
      <xdr:nvSpPr>
        <xdr:cNvPr id="711" name="Retângulo 710">
          <a:extLst>
            <a:ext uri="{FF2B5EF4-FFF2-40B4-BE49-F238E27FC236}">
              <a16:creationId xmlns:a16="http://schemas.microsoft.com/office/drawing/2014/main" id="{E9652637-524B-E8A0-0E9E-BDB0B57C90C1}"/>
            </a:ext>
          </a:extLst>
        </xdr:cNvPr>
        <xdr:cNvSpPr/>
      </xdr:nvSpPr>
      <xdr:spPr>
        <a:xfrm>
          <a:off x="1774646" y="6498007"/>
          <a:ext cx="29315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67</a:t>
          </a:r>
        </a:p>
      </xdr:txBody>
    </xdr:sp>
    <xdr:clientData/>
  </xdr:twoCellAnchor>
  <xdr:twoCellAnchor>
    <xdr:from>
      <xdr:col>2</xdr:col>
      <xdr:colOff>955459</xdr:colOff>
      <xdr:row>29</xdr:row>
      <xdr:rowOff>165509</xdr:rowOff>
    </xdr:from>
    <xdr:to>
      <xdr:col>3</xdr:col>
      <xdr:colOff>71991</xdr:colOff>
      <xdr:row>30</xdr:row>
      <xdr:rowOff>127099</xdr:rowOff>
    </xdr:to>
    <xdr:sp macro="" textlink="$BH$3">
      <xdr:nvSpPr>
        <xdr:cNvPr id="712" name="Retângulo 711">
          <a:extLst>
            <a:ext uri="{FF2B5EF4-FFF2-40B4-BE49-F238E27FC236}">
              <a16:creationId xmlns:a16="http://schemas.microsoft.com/office/drawing/2014/main" id="{B2714F29-CA9A-58D6-F9D5-D664AE6784CE}"/>
            </a:ext>
          </a:extLst>
        </xdr:cNvPr>
        <xdr:cNvSpPr/>
      </xdr:nvSpPr>
      <xdr:spPr>
        <a:xfrm>
          <a:off x="2098459" y="6496833"/>
          <a:ext cx="29315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776BA5A-F5F0-42BA-A562-BE2FD38EF87A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103953</xdr:colOff>
      <xdr:row>29</xdr:row>
      <xdr:rowOff>169372</xdr:rowOff>
    </xdr:from>
    <xdr:to>
      <xdr:col>3</xdr:col>
      <xdr:colOff>398270</xdr:colOff>
      <xdr:row>30</xdr:row>
      <xdr:rowOff>130962</xdr:rowOff>
    </xdr:to>
    <xdr:sp macro="" textlink="$BH$2">
      <xdr:nvSpPr>
        <xdr:cNvPr id="713" name="Retângulo 712">
          <a:extLst>
            <a:ext uri="{FF2B5EF4-FFF2-40B4-BE49-F238E27FC236}">
              <a16:creationId xmlns:a16="http://schemas.microsoft.com/office/drawing/2014/main" id="{CB74E7DF-5670-1B84-3DE4-094EA3F018ED}"/>
            </a:ext>
          </a:extLst>
        </xdr:cNvPr>
        <xdr:cNvSpPr/>
      </xdr:nvSpPr>
      <xdr:spPr>
        <a:xfrm>
          <a:off x="2423571" y="6500696"/>
          <a:ext cx="2943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3C341AA-3BB2-4280-9C68-D38046B241CC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63,7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631646</xdr:colOff>
      <xdr:row>30</xdr:row>
      <xdr:rowOff>142519</xdr:rowOff>
    </xdr:from>
    <xdr:to>
      <xdr:col>2</xdr:col>
      <xdr:colOff>924796</xdr:colOff>
      <xdr:row>31</xdr:row>
      <xdr:rowOff>104109</xdr:rowOff>
    </xdr:to>
    <xdr:sp macro="" textlink="">
      <xdr:nvSpPr>
        <xdr:cNvPr id="714" name="Retângulo 713">
          <a:extLst>
            <a:ext uri="{FF2B5EF4-FFF2-40B4-BE49-F238E27FC236}">
              <a16:creationId xmlns:a16="http://schemas.microsoft.com/office/drawing/2014/main" id="{8CAFB3DF-82E4-05F0-9E2E-92A9E0A88197}"/>
            </a:ext>
          </a:extLst>
        </xdr:cNvPr>
        <xdr:cNvSpPr/>
      </xdr:nvSpPr>
      <xdr:spPr>
        <a:xfrm>
          <a:off x="1774646" y="6664343"/>
          <a:ext cx="29315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68</a:t>
          </a:r>
        </a:p>
      </xdr:txBody>
    </xdr:sp>
    <xdr:clientData/>
  </xdr:twoCellAnchor>
  <xdr:twoCellAnchor>
    <xdr:from>
      <xdr:col>2</xdr:col>
      <xdr:colOff>955459</xdr:colOff>
      <xdr:row>30</xdr:row>
      <xdr:rowOff>141344</xdr:rowOff>
    </xdr:from>
    <xdr:to>
      <xdr:col>3</xdr:col>
      <xdr:colOff>71991</xdr:colOff>
      <xdr:row>31</xdr:row>
      <xdr:rowOff>102934</xdr:rowOff>
    </xdr:to>
    <xdr:sp macro="" textlink="$BI$3">
      <xdr:nvSpPr>
        <xdr:cNvPr id="715" name="Retângulo 714">
          <a:extLst>
            <a:ext uri="{FF2B5EF4-FFF2-40B4-BE49-F238E27FC236}">
              <a16:creationId xmlns:a16="http://schemas.microsoft.com/office/drawing/2014/main" id="{9229B6E1-4786-3527-BDF5-C2D76E9B65FC}"/>
            </a:ext>
          </a:extLst>
        </xdr:cNvPr>
        <xdr:cNvSpPr/>
      </xdr:nvSpPr>
      <xdr:spPr>
        <a:xfrm>
          <a:off x="2098459" y="6663168"/>
          <a:ext cx="29315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60A6EA1-16D8-4796-868A-B1EE290FF816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103953</xdr:colOff>
      <xdr:row>30</xdr:row>
      <xdr:rowOff>145211</xdr:rowOff>
    </xdr:from>
    <xdr:to>
      <xdr:col>3</xdr:col>
      <xdr:colOff>398270</xdr:colOff>
      <xdr:row>31</xdr:row>
      <xdr:rowOff>106801</xdr:rowOff>
    </xdr:to>
    <xdr:sp macro="" textlink="$BI$2">
      <xdr:nvSpPr>
        <xdr:cNvPr id="716" name="Retângulo 715">
          <a:extLst>
            <a:ext uri="{FF2B5EF4-FFF2-40B4-BE49-F238E27FC236}">
              <a16:creationId xmlns:a16="http://schemas.microsoft.com/office/drawing/2014/main" id="{331236D2-93BA-A381-D69A-FEDC21B1329B}"/>
            </a:ext>
          </a:extLst>
        </xdr:cNvPr>
        <xdr:cNvSpPr/>
      </xdr:nvSpPr>
      <xdr:spPr>
        <a:xfrm>
          <a:off x="2423571" y="6667035"/>
          <a:ext cx="2943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03B7465-41BF-4C7E-88A8-7BC804FDCFA7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63,7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426813</xdr:colOff>
      <xdr:row>26</xdr:row>
      <xdr:rowOff>76991</xdr:rowOff>
    </xdr:from>
    <xdr:to>
      <xdr:col>3</xdr:col>
      <xdr:colOff>718660</xdr:colOff>
      <xdr:row>27</xdr:row>
      <xdr:rowOff>38581</xdr:rowOff>
    </xdr:to>
    <xdr:sp macro="" textlink="$BD$5">
      <xdr:nvSpPr>
        <xdr:cNvPr id="717" name="Retângulo 716">
          <a:extLst>
            <a:ext uri="{FF2B5EF4-FFF2-40B4-BE49-F238E27FC236}">
              <a16:creationId xmlns:a16="http://schemas.microsoft.com/office/drawing/2014/main" id="{C114523B-1AB2-8C48-7070-646A4466B5E7}"/>
            </a:ext>
          </a:extLst>
        </xdr:cNvPr>
        <xdr:cNvSpPr/>
      </xdr:nvSpPr>
      <xdr:spPr>
        <a:xfrm>
          <a:off x="2746431" y="5836815"/>
          <a:ext cx="29184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C0E64D8-6A11-4177-A016-1C2CAB9EED97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426813</xdr:colOff>
      <xdr:row>27</xdr:row>
      <xdr:rowOff>52826</xdr:rowOff>
    </xdr:from>
    <xdr:to>
      <xdr:col>3</xdr:col>
      <xdr:colOff>718660</xdr:colOff>
      <xdr:row>28</xdr:row>
      <xdr:rowOff>14416</xdr:rowOff>
    </xdr:to>
    <xdr:sp macro="" textlink="$BE$5">
      <xdr:nvSpPr>
        <xdr:cNvPr id="718" name="Retângulo 717">
          <a:extLst>
            <a:ext uri="{FF2B5EF4-FFF2-40B4-BE49-F238E27FC236}">
              <a16:creationId xmlns:a16="http://schemas.microsoft.com/office/drawing/2014/main" id="{7C5760DB-919B-8764-2561-00803B8EEDFA}"/>
            </a:ext>
          </a:extLst>
        </xdr:cNvPr>
        <xdr:cNvSpPr/>
      </xdr:nvSpPr>
      <xdr:spPr>
        <a:xfrm>
          <a:off x="2746431" y="6003150"/>
          <a:ext cx="29184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EE4EE35-D8BB-4961-9C1B-4E8FB533667A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426813</xdr:colOff>
      <xdr:row>28</xdr:row>
      <xdr:rowOff>28668</xdr:rowOff>
    </xdr:from>
    <xdr:to>
      <xdr:col>3</xdr:col>
      <xdr:colOff>718660</xdr:colOff>
      <xdr:row>28</xdr:row>
      <xdr:rowOff>180758</xdr:rowOff>
    </xdr:to>
    <xdr:sp macro="" textlink="$BF$5">
      <xdr:nvSpPr>
        <xdr:cNvPr id="719" name="Retângulo 718">
          <a:extLst>
            <a:ext uri="{FF2B5EF4-FFF2-40B4-BE49-F238E27FC236}">
              <a16:creationId xmlns:a16="http://schemas.microsoft.com/office/drawing/2014/main" id="{5EC964FB-ECE9-A23B-BD43-2CB8D1E72EC4}"/>
            </a:ext>
          </a:extLst>
        </xdr:cNvPr>
        <xdr:cNvSpPr/>
      </xdr:nvSpPr>
      <xdr:spPr>
        <a:xfrm>
          <a:off x="2746431" y="6169492"/>
          <a:ext cx="29184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C3DB5F6-7CA0-4610-AA25-DA1BE58367DB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426813</xdr:colOff>
      <xdr:row>29</xdr:row>
      <xdr:rowOff>4509</xdr:rowOff>
    </xdr:from>
    <xdr:to>
      <xdr:col>3</xdr:col>
      <xdr:colOff>718660</xdr:colOff>
      <xdr:row>29</xdr:row>
      <xdr:rowOff>156599</xdr:rowOff>
    </xdr:to>
    <xdr:sp macro="" textlink="$BG$5">
      <xdr:nvSpPr>
        <xdr:cNvPr id="720" name="Retângulo 719">
          <a:extLst>
            <a:ext uri="{FF2B5EF4-FFF2-40B4-BE49-F238E27FC236}">
              <a16:creationId xmlns:a16="http://schemas.microsoft.com/office/drawing/2014/main" id="{46C7AD69-F249-3597-8FA0-C06AF67B68D8}"/>
            </a:ext>
          </a:extLst>
        </xdr:cNvPr>
        <xdr:cNvSpPr/>
      </xdr:nvSpPr>
      <xdr:spPr>
        <a:xfrm>
          <a:off x="2746431" y="6335833"/>
          <a:ext cx="29184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6EFE95B-D162-412C-82CB-8E8DEF435EB8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426813</xdr:colOff>
      <xdr:row>29</xdr:row>
      <xdr:rowOff>170844</xdr:rowOff>
    </xdr:from>
    <xdr:to>
      <xdr:col>3</xdr:col>
      <xdr:colOff>718660</xdr:colOff>
      <xdr:row>30</xdr:row>
      <xdr:rowOff>132434</xdr:rowOff>
    </xdr:to>
    <xdr:sp macro="" textlink="$BH$5">
      <xdr:nvSpPr>
        <xdr:cNvPr id="721" name="Retângulo 720">
          <a:extLst>
            <a:ext uri="{FF2B5EF4-FFF2-40B4-BE49-F238E27FC236}">
              <a16:creationId xmlns:a16="http://schemas.microsoft.com/office/drawing/2014/main" id="{116BEDC3-2901-74D0-10C7-BC0C77928B27}"/>
            </a:ext>
          </a:extLst>
        </xdr:cNvPr>
        <xdr:cNvSpPr/>
      </xdr:nvSpPr>
      <xdr:spPr>
        <a:xfrm>
          <a:off x="2746431" y="6502168"/>
          <a:ext cx="29184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236879E-3511-4002-9CF2-FBF9F4EDAECB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426813</xdr:colOff>
      <xdr:row>30</xdr:row>
      <xdr:rowOff>146683</xdr:rowOff>
    </xdr:from>
    <xdr:to>
      <xdr:col>3</xdr:col>
      <xdr:colOff>718660</xdr:colOff>
      <xdr:row>31</xdr:row>
      <xdr:rowOff>108273</xdr:rowOff>
    </xdr:to>
    <xdr:sp macro="" textlink="$BI$5">
      <xdr:nvSpPr>
        <xdr:cNvPr id="722" name="Retângulo 721">
          <a:extLst>
            <a:ext uri="{FF2B5EF4-FFF2-40B4-BE49-F238E27FC236}">
              <a16:creationId xmlns:a16="http://schemas.microsoft.com/office/drawing/2014/main" id="{132CCC3E-161D-1B40-FC09-F85128CDFB42}"/>
            </a:ext>
          </a:extLst>
        </xdr:cNvPr>
        <xdr:cNvSpPr/>
      </xdr:nvSpPr>
      <xdr:spPr>
        <a:xfrm>
          <a:off x="2746431" y="6668507"/>
          <a:ext cx="29184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DE0F541-7F53-4FDE-9A62-1E2ED2D0B60C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631920</xdr:colOff>
      <xdr:row>13</xdr:row>
      <xdr:rowOff>53383</xdr:rowOff>
    </xdr:from>
    <xdr:to>
      <xdr:col>2</xdr:col>
      <xdr:colOff>927271</xdr:colOff>
      <xdr:row>14</xdr:row>
      <xdr:rowOff>14973</xdr:rowOff>
    </xdr:to>
    <xdr:sp macro="" textlink="">
      <xdr:nvSpPr>
        <xdr:cNvPr id="723" name="Retângulo 722">
          <a:extLst>
            <a:ext uri="{FF2B5EF4-FFF2-40B4-BE49-F238E27FC236}">
              <a16:creationId xmlns:a16="http://schemas.microsoft.com/office/drawing/2014/main" id="{8BF957D2-B16B-3B2C-7C49-6D2E64AEF946}"/>
            </a:ext>
          </a:extLst>
        </xdr:cNvPr>
        <xdr:cNvSpPr/>
      </xdr:nvSpPr>
      <xdr:spPr>
        <a:xfrm>
          <a:off x="1774920" y="3336707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48</a:t>
          </a:r>
        </a:p>
      </xdr:txBody>
    </xdr:sp>
    <xdr:clientData/>
  </xdr:twoCellAnchor>
  <xdr:twoCellAnchor>
    <xdr:from>
      <xdr:col>2</xdr:col>
      <xdr:colOff>954636</xdr:colOff>
      <xdr:row>13</xdr:row>
      <xdr:rowOff>52215</xdr:rowOff>
    </xdr:from>
    <xdr:to>
      <xdr:col>3</xdr:col>
      <xdr:colOff>73369</xdr:colOff>
      <xdr:row>14</xdr:row>
      <xdr:rowOff>13805</xdr:rowOff>
    </xdr:to>
    <xdr:sp macro="" textlink="$AO$3">
      <xdr:nvSpPr>
        <xdr:cNvPr id="724" name="Retângulo 723">
          <a:extLst>
            <a:ext uri="{FF2B5EF4-FFF2-40B4-BE49-F238E27FC236}">
              <a16:creationId xmlns:a16="http://schemas.microsoft.com/office/drawing/2014/main" id="{6624C091-EF2C-1CB7-ADD7-CC3D7DA1ABE9}"/>
            </a:ext>
          </a:extLst>
        </xdr:cNvPr>
        <xdr:cNvSpPr/>
      </xdr:nvSpPr>
      <xdr:spPr>
        <a:xfrm>
          <a:off x="2097636" y="3335539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EB33042-7AA6-4A2F-BCF4-F71EE345B1DF}" type="TxLink">
            <a:rPr lang="en-US" sz="800" b="1" i="0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103198</xdr:colOff>
      <xdr:row>13</xdr:row>
      <xdr:rowOff>52851</xdr:rowOff>
    </xdr:from>
    <xdr:to>
      <xdr:col>3</xdr:col>
      <xdr:colOff>394909</xdr:colOff>
      <xdr:row>14</xdr:row>
      <xdr:rowOff>14441</xdr:rowOff>
    </xdr:to>
    <xdr:sp macro="" textlink="$AO$2">
      <xdr:nvSpPr>
        <xdr:cNvPr id="725" name="Retângulo 724">
          <a:extLst>
            <a:ext uri="{FF2B5EF4-FFF2-40B4-BE49-F238E27FC236}">
              <a16:creationId xmlns:a16="http://schemas.microsoft.com/office/drawing/2014/main" id="{7D09FFFE-F302-F204-F82E-CC7AE8DB30D7}"/>
            </a:ext>
          </a:extLst>
        </xdr:cNvPr>
        <xdr:cNvSpPr/>
      </xdr:nvSpPr>
      <xdr:spPr>
        <a:xfrm>
          <a:off x="2422816" y="3336175"/>
          <a:ext cx="29171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8A8BA84-ED99-45D3-9BAF-2265D461084E}" type="TxLink">
            <a:rPr lang="en-US" sz="800" b="1" i="0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62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</xdr:col>
      <xdr:colOff>631920</xdr:colOff>
      <xdr:row>14</xdr:row>
      <xdr:rowOff>29755</xdr:rowOff>
    </xdr:from>
    <xdr:to>
      <xdr:col>2</xdr:col>
      <xdr:colOff>927271</xdr:colOff>
      <xdr:row>14</xdr:row>
      <xdr:rowOff>181845</xdr:rowOff>
    </xdr:to>
    <xdr:sp macro="" textlink="">
      <xdr:nvSpPr>
        <xdr:cNvPr id="726" name="Retângulo 725">
          <a:extLst>
            <a:ext uri="{FF2B5EF4-FFF2-40B4-BE49-F238E27FC236}">
              <a16:creationId xmlns:a16="http://schemas.microsoft.com/office/drawing/2014/main" id="{C693B9F3-2DE0-2A07-3995-4C0B8378328E}"/>
            </a:ext>
          </a:extLst>
        </xdr:cNvPr>
        <xdr:cNvSpPr/>
      </xdr:nvSpPr>
      <xdr:spPr>
        <a:xfrm>
          <a:off x="1774920" y="3503579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49</a:t>
          </a:r>
        </a:p>
      </xdr:txBody>
    </xdr:sp>
    <xdr:clientData/>
  </xdr:twoCellAnchor>
  <xdr:twoCellAnchor>
    <xdr:from>
      <xdr:col>2</xdr:col>
      <xdr:colOff>954636</xdr:colOff>
      <xdr:row>14</xdr:row>
      <xdr:rowOff>26204</xdr:rowOff>
    </xdr:from>
    <xdr:to>
      <xdr:col>3</xdr:col>
      <xdr:colOff>73369</xdr:colOff>
      <xdr:row>14</xdr:row>
      <xdr:rowOff>178294</xdr:rowOff>
    </xdr:to>
    <xdr:sp macro="" textlink="$AP$3">
      <xdr:nvSpPr>
        <xdr:cNvPr id="727" name="Retângulo 726">
          <a:extLst>
            <a:ext uri="{FF2B5EF4-FFF2-40B4-BE49-F238E27FC236}">
              <a16:creationId xmlns:a16="http://schemas.microsoft.com/office/drawing/2014/main" id="{0A1C53B7-9E1B-280F-D552-B2F7B1FB2032}"/>
            </a:ext>
          </a:extLst>
        </xdr:cNvPr>
        <xdr:cNvSpPr/>
      </xdr:nvSpPr>
      <xdr:spPr>
        <a:xfrm>
          <a:off x="2097636" y="3500028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CE275D8-CC59-4A90-A7EB-06CF2CAF6D05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14</xdr:row>
      <xdr:rowOff>29858</xdr:rowOff>
    </xdr:from>
    <xdr:to>
      <xdr:col>3</xdr:col>
      <xdr:colOff>394907</xdr:colOff>
      <xdr:row>14</xdr:row>
      <xdr:rowOff>181948</xdr:rowOff>
    </xdr:to>
    <xdr:sp macro="" textlink="$AP$2">
      <xdr:nvSpPr>
        <xdr:cNvPr id="728" name="Retângulo 727">
          <a:extLst>
            <a:ext uri="{FF2B5EF4-FFF2-40B4-BE49-F238E27FC236}">
              <a16:creationId xmlns:a16="http://schemas.microsoft.com/office/drawing/2014/main" id="{E0B1831F-D2BA-0E85-A3C9-235464D7AF48}"/>
            </a:ext>
          </a:extLst>
        </xdr:cNvPr>
        <xdr:cNvSpPr/>
      </xdr:nvSpPr>
      <xdr:spPr>
        <a:xfrm>
          <a:off x="2422816" y="3503682"/>
          <a:ext cx="2917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E67B9ED-34EC-40B5-B0E2-71763CB4D41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62,1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631921</xdr:colOff>
      <xdr:row>15</xdr:row>
      <xdr:rowOff>5592</xdr:rowOff>
    </xdr:from>
    <xdr:to>
      <xdr:col>2</xdr:col>
      <xdr:colOff>927272</xdr:colOff>
      <xdr:row>15</xdr:row>
      <xdr:rowOff>157682</xdr:rowOff>
    </xdr:to>
    <xdr:sp macro="" textlink="">
      <xdr:nvSpPr>
        <xdr:cNvPr id="729" name="Retângulo 728">
          <a:extLst>
            <a:ext uri="{FF2B5EF4-FFF2-40B4-BE49-F238E27FC236}">
              <a16:creationId xmlns:a16="http://schemas.microsoft.com/office/drawing/2014/main" id="{765D0CF6-01F4-CC27-9F18-D5C388F1877B}"/>
            </a:ext>
          </a:extLst>
        </xdr:cNvPr>
        <xdr:cNvSpPr/>
      </xdr:nvSpPr>
      <xdr:spPr>
        <a:xfrm>
          <a:off x="1774921" y="3669916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50</a:t>
          </a:r>
        </a:p>
      </xdr:txBody>
    </xdr:sp>
    <xdr:clientData/>
  </xdr:twoCellAnchor>
  <xdr:twoCellAnchor>
    <xdr:from>
      <xdr:col>2</xdr:col>
      <xdr:colOff>954636</xdr:colOff>
      <xdr:row>15</xdr:row>
      <xdr:rowOff>2049</xdr:rowOff>
    </xdr:from>
    <xdr:to>
      <xdr:col>3</xdr:col>
      <xdr:colOff>73369</xdr:colOff>
      <xdr:row>15</xdr:row>
      <xdr:rowOff>154139</xdr:rowOff>
    </xdr:to>
    <xdr:sp macro="" textlink="$AQ$3">
      <xdr:nvSpPr>
        <xdr:cNvPr id="730" name="Retângulo 729">
          <a:extLst>
            <a:ext uri="{FF2B5EF4-FFF2-40B4-BE49-F238E27FC236}">
              <a16:creationId xmlns:a16="http://schemas.microsoft.com/office/drawing/2014/main" id="{2EED258D-1713-3F55-B2BF-45CEFB2141FB}"/>
            </a:ext>
          </a:extLst>
        </xdr:cNvPr>
        <xdr:cNvSpPr/>
      </xdr:nvSpPr>
      <xdr:spPr>
        <a:xfrm>
          <a:off x="2097636" y="3666373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F73EF77-1769-4D68-BEB7-BD6CD3A947F5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15</xdr:row>
      <xdr:rowOff>5697</xdr:rowOff>
    </xdr:from>
    <xdr:to>
      <xdr:col>3</xdr:col>
      <xdr:colOff>399706</xdr:colOff>
      <xdr:row>15</xdr:row>
      <xdr:rowOff>157787</xdr:rowOff>
    </xdr:to>
    <xdr:sp macro="" textlink="$AQ$2">
      <xdr:nvSpPr>
        <xdr:cNvPr id="731" name="Retângulo 730">
          <a:extLst>
            <a:ext uri="{FF2B5EF4-FFF2-40B4-BE49-F238E27FC236}">
              <a16:creationId xmlns:a16="http://schemas.microsoft.com/office/drawing/2014/main" id="{43BD8C56-5303-793F-C34F-E28F95E4B519}"/>
            </a:ext>
          </a:extLst>
        </xdr:cNvPr>
        <xdr:cNvSpPr/>
      </xdr:nvSpPr>
      <xdr:spPr>
        <a:xfrm>
          <a:off x="2422816" y="3670021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D4A7A4A-7D50-4B49-99E6-CE53E7F3125D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62,3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631922</xdr:colOff>
      <xdr:row>15</xdr:row>
      <xdr:rowOff>171296</xdr:rowOff>
    </xdr:from>
    <xdr:to>
      <xdr:col>2</xdr:col>
      <xdr:colOff>927273</xdr:colOff>
      <xdr:row>16</xdr:row>
      <xdr:rowOff>132886</xdr:rowOff>
    </xdr:to>
    <xdr:sp macro="" textlink="">
      <xdr:nvSpPr>
        <xdr:cNvPr id="732" name="Retângulo 731">
          <a:extLst>
            <a:ext uri="{FF2B5EF4-FFF2-40B4-BE49-F238E27FC236}">
              <a16:creationId xmlns:a16="http://schemas.microsoft.com/office/drawing/2014/main" id="{B13C3449-1759-7948-F284-418542202FE9}"/>
            </a:ext>
          </a:extLst>
        </xdr:cNvPr>
        <xdr:cNvSpPr/>
      </xdr:nvSpPr>
      <xdr:spPr>
        <a:xfrm>
          <a:off x="1774922" y="3835620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51</a:t>
          </a:r>
        </a:p>
      </xdr:txBody>
    </xdr:sp>
    <xdr:clientData/>
  </xdr:twoCellAnchor>
  <xdr:twoCellAnchor>
    <xdr:from>
      <xdr:col>2</xdr:col>
      <xdr:colOff>954636</xdr:colOff>
      <xdr:row>15</xdr:row>
      <xdr:rowOff>167746</xdr:rowOff>
    </xdr:from>
    <xdr:to>
      <xdr:col>3</xdr:col>
      <xdr:colOff>73369</xdr:colOff>
      <xdr:row>16</xdr:row>
      <xdr:rowOff>129336</xdr:rowOff>
    </xdr:to>
    <xdr:sp macro="" textlink="$AR$3">
      <xdr:nvSpPr>
        <xdr:cNvPr id="733" name="Retângulo 732">
          <a:extLst>
            <a:ext uri="{FF2B5EF4-FFF2-40B4-BE49-F238E27FC236}">
              <a16:creationId xmlns:a16="http://schemas.microsoft.com/office/drawing/2014/main" id="{65900B81-DE2E-C6F4-2DB9-3E6CCF678B22}"/>
            </a:ext>
          </a:extLst>
        </xdr:cNvPr>
        <xdr:cNvSpPr/>
      </xdr:nvSpPr>
      <xdr:spPr>
        <a:xfrm>
          <a:off x="2097636" y="3832070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6A762F3-E41B-43FE-A8E6-714E8E3C51E4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15</xdr:row>
      <xdr:rowOff>172035</xdr:rowOff>
    </xdr:from>
    <xdr:to>
      <xdr:col>3</xdr:col>
      <xdr:colOff>399706</xdr:colOff>
      <xdr:row>16</xdr:row>
      <xdr:rowOff>133625</xdr:rowOff>
    </xdr:to>
    <xdr:sp macro="" textlink="$AR$2">
      <xdr:nvSpPr>
        <xdr:cNvPr id="734" name="Retângulo 733">
          <a:extLst>
            <a:ext uri="{FF2B5EF4-FFF2-40B4-BE49-F238E27FC236}">
              <a16:creationId xmlns:a16="http://schemas.microsoft.com/office/drawing/2014/main" id="{C9D2549B-0142-16BD-8928-C7EB67982326}"/>
            </a:ext>
          </a:extLst>
        </xdr:cNvPr>
        <xdr:cNvSpPr/>
      </xdr:nvSpPr>
      <xdr:spPr>
        <a:xfrm>
          <a:off x="2422816" y="3836359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5CE60D1-3F16-442C-9785-42A05F4497EE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62,4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631921</xdr:colOff>
      <xdr:row>16</xdr:row>
      <xdr:rowOff>147136</xdr:rowOff>
    </xdr:from>
    <xdr:to>
      <xdr:col>2</xdr:col>
      <xdr:colOff>927272</xdr:colOff>
      <xdr:row>17</xdr:row>
      <xdr:rowOff>108726</xdr:rowOff>
    </xdr:to>
    <xdr:sp macro="" textlink="">
      <xdr:nvSpPr>
        <xdr:cNvPr id="735" name="Retângulo 734">
          <a:extLst>
            <a:ext uri="{FF2B5EF4-FFF2-40B4-BE49-F238E27FC236}">
              <a16:creationId xmlns:a16="http://schemas.microsoft.com/office/drawing/2014/main" id="{C6BCC03B-F348-D00C-950A-2B634A3104E1}"/>
            </a:ext>
          </a:extLst>
        </xdr:cNvPr>
        <xdr:cNvSpPr/>
      </xdr:nvSpPr>
      <xdr:spPr>
        <a:xfrm>
          <a:off x="1774921" y="4001960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52</a:t>
          </a:r>
        </a:p>
      </xdr:txBody>
    </xdr:sp>
    <xdr:clientData/>
  </xdr:twoCellAnchor>
  <xdr:twoCellAnchor>
    <xdr:from>
      <xdr:col>2</xdr:col>
      <xdr:colOff>954636</xdr:colOff>
      <xdr:row>16</xdr:row>
      <xdr:rowOff>143586</xdr:rowOff>
    </xdr:from>
    <xdr:to>
      <xdr:col>3</xdr:col>
      <xdr:colOff>73369</xdr:colOff>
      <xdr:row>17</xdr:row>
      <xdr:rowOff>105176</xdr:rowOff>
    </xdr:to>
    <xdr:sp macro="" textlink="$AS$3">
      <xdr:nvSpPr>
        <xdr:cNvPr id="736" name="Retângulo 735">
          <a:extLst>
            <a:ext uri="{FF2B5EF4-FFF2-40B4-BE49-F238E27FC236}">
              <a16:creationId xmlns:a16="http://schemas.microsoft.com/office/drawing/2014/main" id="{53192181-9504-9116-91A1-C0BB343932CD}"/>
            </a:ext>
          </a:extLst>
        </xdr:cNvPr>
        <xdr:cNvSpPr/>
      </xdr:nvSpPr>
      <xdr:spPr>
        <a:xfrm>
          <a:off x="2097636" y="3998410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5691BEA-95AB-42E2-8988-8AE48A5502ED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16</xdr:row>
      <xdr:rowOff>149043</xdr:rowOff>
    </xdr:from>
    <xdr:to>
      <xdr:col>3</xdr:col>
      <xdr:colOff>399706</xdr:colOff>
      <xdr:row>17</xdr:row>
      <xdr:rowOff>110633</xdr:rowOff>
    </xdr:to>
    <xdr:sp macro="" textlink="$AS$2">
      <xdr:nvSpPr>
        <xdr:cNvPr id="737" name="Retângulo 736">
          <a:extLst>
            <a:ext uri="{FF2B5EF4-FFF2-40B4-BE49-F238E27FC236}">
              <a16:creationId xmlns:a16="http://schemas.microsoft.com/office/drawing/2014/main" id="{B5561BC8-9590-D098-DE25-CEF2D825AA45}"/>
            </a:ext>
          </a:extLst>
        </xdr:cNvPr>
        <xdr:cNvSpPr/>
      </xdr:nvSpPr>
      <xdr:spPr>
        <a:xfrm>
          <a:off x="2422816" y="4003867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FA1E7C2-036F-49D6-BDF7-33C8A2035046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62,5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631922</xdr:colOff>
      <xdr:row>17</xdr:row>
      <xdr:rowOff>122252</xdr:rowOff>
    </xdr:from>
    <xdr:to>
      <xdr:col>2</xdr:col>
      <xdr:colOff>927273</xdr:colOff>
      <xdr:row>18</xdr:row>
      <xdr:rowOff>83842</xdr:rowOff>
    </xdr:to>
    <xdr:sp macro="" textlink="">
      <xdr:nvSpPr>
        <xdr:cNvPr id="738" name="Retângulo 737">
          <a:extLst>
            <a:ext uri="{FF2B5EF4-FFF2-40B4-BE49-F238E27FC236}">
              <a16:creationId xmlns:a16="http://schemas.microsoft.com/office/drawing/2014/main" id="{DEF251FC-4116-EDBC-220D-D1AE505C33DF}"/>
            </a:ext>
          </a:extLst>
        </xdr:cNvPr>
        <xdr:cNvSpPr/>
      </xdr:nvSpPr>
      <xdr:spPr>
        <a:xfrm>
          <a:off x="1774922" y="4167576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53</a:t>
          </a:r>
        </a:p>
      </xdr:txBody>
    </xdr:sp>
    <xdr:clientData/>
  </xdr:twoCellAnchor>
  <xdr:twoCellAnchor>
    <xdr:from>
      <xdr:col>2</xdr:col>
      <xdr:colOff>954636</xdr:colOff>
      <xdr:row>17</xdr:row>
      <xdr:rowOff>118701</xdr:rowOff>
    </xdr:from>
    <xdr:to>
      <xdr:col>3</xdr:col>
      <xdr:colOff>73369</xdr:colOff>
      <xdr:row>18</xdr:row>
      <xdr:rowOff>80291</xdr:rowOff>
    </xdr:to>
    <xdr:sp macro="" textlink="$AT$3">
      <xdr:nvSpPr>
        <xdr:cNvPr id="739" name="Retângulo 738">
          <a:extLst>
            <a:ext uri="{FF2B5EF4-FFF2-40B4-BE49-F238E27FC236}">
              <a16:creationId xmlns:a16="http://schemas.microsoft.com/office/drawing/2014/main" id="{077A52EE-6C7B-7381-40EC-B89185FF3DAA}"/>
            </a:ext>
          </a:extLst>
        </xdr:cNvPr>
        <xdr:cNvSpPr/>
      </xdr:nvSpPr>
      <xdr:spPr>
        <a:xfrm>
          <a:off x="2097636" y="4164025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0D9B887-1EAD-4407-901C-45A594184DB4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17</xdr:row>
      <xdr:rowOff>124263</xdr:rowOff>
    </xdr:from>
    <xdr:to>
      <xdr:col>3</xdr:col>
      <xdr:colOff>399706</xdr:colOff>
      <xdr:row>18</xdr:row>
      <xdr:rowOff>85853</xdr:rowOff>
    </xdr:to>
    <xdr:sp macro="" textlink="$AT$2">
      <xdr:nvSpPr>
        <xdr:cNvPr id="740" name="Retângulo 739">
          <a:extLst>
            <a:ext uri="{FF2B5EF4-FFF2-40B4-BE49-F238E27FC236}">
              <a16:creationId xmlns:a16="http://schemas.microsoft.com/office/drawing/2014/main" id="{EC95F247-7563-1C07-529F-EA383A393DB4}"/>
            </a:ext>
          </a:extLst>
        </xdr:cNvPr>
        <xdr:cNvSpPr/>
      </xdr:nvSpPr>
      <xdr:spPr>
        <a:xfrm>
          <a:off x="2422816" y="4169587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25E97EB-CA92-4F31-8887-56C99BEDF1BF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62,6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631919</xdr:colOff>
      <xdr:row>18</xdr:row>
      <xdr:rowOff>99217</xdr:rowOff>
    </xdr:from>
    <xdr:to>
      <xdr:col>2</xdr:col>
      <xdr:colOff>927270</xdr:colOff>
      <xdr:row>19</xdr:row>
      <xdr:rowOff>60807</xdr:rowOff>
    </xdr:to>
    <xdr:sp macro="" textlink="">
      <xdr:nvSpPr>
        <xdr:cNvPr id="741" name="Retângulo 740">
          <a:extLst>
            <a:ext uri="{FF2B5EF4-FFF2-40B4-BE49-F238E27FC236}">
              <a16:creationId xmlns:a16="http://schemas.microsoft.com/office/drawing/2014/main" id="{E376865F-F140-2FF5-1637-9CA9BF495A37}"/>
            </a:ext>
          </a:extLst>
        </xdr:cNvPr>
        <xdr:cNvSpPr/>
      </xdr:nvSpPr>
      <xdr:spPr>
        <a:xfrm>
          <a:off x="1774919" y="4335041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54</a:t>
          </a:r>
        </a:p>
      </xdr:txBody>
    </xdr:sp>
    <xdr:clientData/>
  </xdr:twoCellAnchor>
  <xdr:twoCellAnchor>
    <xdr:from>
      <xdr:col>2</xdr:col>
      <xdr:colOff>954636</xdr:colOff>
      <xdr:row>18</xdr:row>
      <xdr:rowOff>93285</xdr:rowOff>
    </xdr:from>
    <xdr:to>
      <xdr:col>3</xdr:col>
      <xdr:colOff>73369</xdr:colOff>
      <xdr:row>19</xdr:row>
      <xdr:rowOff>54875</xdr:rowOff>
    </xdr:to>
    <xdr:sp macro="" textlink="$AU$3">
      <xdr:nvSpPr>
        <xdr:cNvPr id="742" name="Retângulo 741">
          <a:extLst>
            <a:ext uri="{FF2B5EF4-FFF2-40B4-BE49-F238E27FC236}">
              <a16:creationId xmlns:a16="http://schemas.microsoft.com/office/drawing/2014/main" id="{CEDD21D9-E723-1CC8-C74E-8FAD58B60909}"/>
            </a:ext>
          </a:extLst>
        </xdr:cNvPr>
        <xdr:cNvSpPr/>
      </xdr:nvSpPr>
      <xdr:spPr>
        <a:xfrm>
          <a:off x="2097636" y="4329109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3C49AB2-78CD-4743-8A1A-0F01CBD60196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18</xdr:row>
      <xdr:rowOff>101864</xdr:rowOff>
    </xdr:from>
    <xdr:to>
      <xdr:col>3</xdr:col>
      <xdr:colOff>399706</xdr:colOff>
      <xdr:row>19</xdr:row>
      <xdr:rowOff>63454</xdr:rowOff>
    </xdr:to>
    <xdr:sp macro="" textlink="$AU$2">
      <xdr:nvSpPr>
        <xdr:cNvPr id="743" name="Retângulo 742">
          <a:extLst>
            <a:ext uri="{FF2B5EF4-FFF2-40B4-BE49-F238E27FC236}">
              <a16:creationId xmlns:a16="http://schemas.microsoft.com/office/drawing/2014/main" id="{2E05592D-2C19-FE85-B4A2-1A56B5833147}"/>
            </a:ext>
          </a:extLst>
        </xdr:cNvPr>
        <xdr:cNvSpPr/>
      </xdr:nvSpPr>
      <xdr:spPr>
        <a:xfrm>
          <a:off x="2422816" y="4337688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FF08747D-C849-4DB9-A31D-A9760B02770C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62,7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631918</xdr:colOff>
      <xdr:row>19</xdr:row>
      <xdr:rowOff>74012</xdr:rowOff>
    </xdr:from>
    <xdr:to>
      <xdr:col>2</xdr:col>
      <xdr:colOff>927269</xdr:colOff>
      <xdr:row>20</xdr:row>
      <xdr:rowOff>35602</xdr:rowOff>
    </xdr:to>
    <xdr:sp macro="" textlink="">
      <xdr:nvSpPr>
        <xdr:cNvPr id="744" name="Retângulo 743">
          <a:extLst>
            <a:ext uri="{FF2B5EF4-FFF2-40B4-BE49-F238E27FC236}">
              <a16:creationId xmlns:a16="http://schemas.microsoft.com/office/drawing/2014/main" id="{79A6A67B-81B3-16E2-846C-F035C1467D8C}"/>
            </a:ext>
          </a:extLst>
        </xdr:cNvPr>
        <xdr:cNvSpPr/>
      </xdr:nvSpPr>
      <xdr:spPr>
        <a:xfrm>
          <a:off x="1774918" y="4500336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55</a:t>
          </a:r>
        </a:p>
      </xdr:txBody>
    </xdr:sp>
    <xdr:clientData/>
  </xdr:twoCellAnchor>
  <xdr:twoCellAnchor>
    <xdr:from>
      <xdr:col>2</xdr:col>
      <xdr:colOff>954636</xdr:colOff>
      <xdr:row>19</xdr:row>
      <xdr:rowOff>70461</xdr:rowOff>
    </xdr:from>
    <xdr:to>
      <xdr:col>3</xdr:col>
      <xdr:colOff>73369</xdr:colOff>
      <xdr:row>20</xdr:row>
      <xdr:rowOff>32051</xdr:rowOff>
    </xdr:to>
    <xdr:sp macro="" textlink="$AV$3">
      <xdr:nvSpPr>
        <xdr:cNvPr id="745" name="Retângulo 744">
          <a:extLst>
            <a:ext uri="{FF2B5EF4-FFF2-40B4-BE49-F238E27FC236}">
              <a16:creationId xmlns:a16="http://schemas.microsoft.com/office/drawing/2014/main" id="{6DECB071-9368-5D3F-D8BB-45C73F56EB38}"/>
            </a:ext>
          </a:extLst>
        </xdr:cNvPr>
        <xdr:cNvSpPr/>
      </xdr:nvSpPr>
      <xdr:spPr>
        <a:xfrm>
          <a:off x="2097636" y="4496785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F6F808E3-722F-4831-8EF0-D8F4F44A6D1B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19</xdr:row>
      <xdr:rowOff>76560</xdr:rowOff>
    </xdr:from>
    <xdr:to>
      <xdr:col>3</xdr:col>
      <xdr:colOff>399706</xdr:colOff>
      <xdr:row>20</xdr:row>
      <xdr:rowOff>38150</xdr:rowOff>
    </xdr:to>
    <xdr:sp macro="" textlink="$AV$2">
      <xdr:nvSpPr>
        <xdr:cNvPr id="746" name="Retângulo 745">
          <a:extLst>
            <a:ext uri="{FF2B5EF4-FFF2-40B4-BE49-F238E27FC236}">
              <a16:creationId xmlns:a16="http://schemas.microsoft.com/office/drawing/2014/main" id="{1D12C02B-F135-1BF1-E489-BCA7CC962533}"/>
            </a:ext>
          </a:extLst>
        </xdr:cNvPr>
        <xdr:cNvSpPr/>
      </xdr:nvSpPr>
      <xdr:spPr>
        <a:xfrm>
          <a:off x="2422816" y="4502884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BC0915C-38E8-4F85-A0D0-453FCFA23FDB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62,8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631922</xdr:colOff>
      <xdr:row>20</xdr:row>
      <xdr:rowOff>51603</xdr:rowOff>
    </xdr:from>
    <xdr:to>
      <xdr:col>2</xdr:col>
      <xdr:colOff>927273</xdr:colOff>
      <xdr:row>21</xdr:row>
      <xdr:rowOff>13193</xdr:rowOff>
    </xdr:to>
    <xdr:sp macro="" textlink="">
      <xdr:nvSpPr>
        <xdr:cNvPr id="747" name="Retângulo 746">
          <a:extLst>
            <a:ext uri="{FF2B5EF4-FFF2-40B4-BE49-F238E27FC236}">
              <a16:creationId xmlns:a16="http://schemas.microsoft.com/office/drawing/2014/main" id="{850FE55A-DA71-790C-1303-8A5DB2123D2B}"/>
            </a:ext>
          </a:extLst>
        </xdr:cNvPr>
        <xdr:cNvSpPr/>
      </xdr:nvSpPr>
      <xdr:spPr>
        <a:xfrm>
          <a:off x="1774922" y="4668427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56</a:t>
          </a:r>
        </a:p>
      </xdr:txBody>
    </xdr:sp>
    <xdr:clientData/>
  </xdr:twoCellAnchor>
  <xdr:twoCellAnchor>
    <xdr:from>
      <xdr:col>2</xdr:col>
      <xdr:colOff>954635</xdr:colOff>
      <xdr:row>20</xdr:row>
      <xdr:rowOff>45664</xdr:rowOff>
    </xdr:from>
    <xdr:to>
      <xdr:col>3</xdr:col>
      <xdr:colOff>73368</xdr:colOff>
      <xdr:row>21</xdr:row>
      <xdr:rowOff>7254</xdr:rowOff>
    </xdr:to>
    <xdr:sp macro="" textlink="$AW$3">
      <xdr:nvSpPr>
        <xdr:cNvPr id="748" name="Retângulo 747">
          <a:extLst>
            <a:ext uri="{FF2B5EF4-FFF2-40B4-BE49-F238E27FC236}">
              <a16:creationId xmlns:a16="http://schemas.microsoft.com/office/drawing/2014/main" id="{BB315D31-D57A-B7A4-B2A8-FB2C0B9A0AFE}"/>
            </a:ext>
          </a:extLst>
        </xdr:cNvPr>
        <xdr:cNvSpPr/>
      </xdr:nvSpPr>
      <xdr:spPr>
        <a:xfrm>
          <a:off x="2097635" y="4662488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9A7D25F-A192-4815-A4CA-7A72CF7172EC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20</xdr:row>
      <xdr:rowOff>52398</xdr:rowOff>
    </xdr:from>
    <xdr:to>
      <xdr:col>3</xdr:col>
      <xdr:colOff>399706</xdr:colOff>
      <xdr:row>21</xdr:row>
      <xdr:rowOff>13988</xdr:rowOff>
    </xdr:to>
    <xdr:sp macro="" textlink="$AW$2">
      <xdr:nvSpPr>
        <xdr:cNvPr id="749" name="Retângulo 748">
          <a:extLst>
            <a:ext uri="{FF2B5EF4-FFF2-40B4-BE49-F238E27FC236}">
              <a16:creationId xmlns:a16="http://schemas.microsoft.com/office/drawing/2014/main" id="{559CD8C2-5194-82B9-BA86-FFD2B267DDB9}"/>
            </a:ext>
          </a:extLst>
        </xdr:cNvPr>
        <xdr:cNvSpPr/>
      </xdr:nvSpPr>
      <xdr:spPr>
        <a:xfrm>
          <a:off x="2422816" y="4669222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4247307-4423-4537-A7E5-5451AD3CEBB2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62,9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631922</xdr:colOff>
      <xdr:row>21</xdr:row>
      <xdr:rowOff>27439</xdr:rowOff>
    </xdr:from>
    <xdr:to>
      <xdr:col>2</xdr:col>
      <xdr:colOff>927273</xdr:colOff>
      <xdr:row>21</xdr:row>
      <xdr:rowOff>179529</xdr:rowOff>
    </xdr:to>
    <xdr:sp macro="" textlink="">
      <xdr:nvSpPr>
        <xdr:cNvPr id="750" name="Retângulo 749">
          <a:extLst>
            <a:ext uri="{FF2B5EF4-FFF2-40B4-BE49-F238E27FC236}">
              <a16:creationId xmlns:a16="http://schemas.microsoft.com/office/drawing/2014/main" id="{258FAC5D-52F9-4801-AC58-6AF789235DB8}"/>
            </a:ext>
          </a:extLst>
        </xdr:cNvPr>
        <xdr:cNvSpPr/>
      </xdr:nvSpPr>
      <xdr:spPr>
        <a:xfrm>
          <a:off x="1774922" y="4834763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57</a:t>
          </a:r>
        </a:p>
      </xdr:txBody>
    </xdr:sp>
    <xdr:clientData/>
  </xdr:twoCellAnchor>
  <xdr:twoCellAnchor>
    <xdr:from>
      <xdr:col>2</xdr:col>
      <xdr:colOff>954636</xdr:colOff>
      <xdr:row>21</xdr:row>
      <xdr:rowOff>21502</xdr:rowOff>
    </xdr:from>
    <xdr:to>
      <xdr:col>3</xdr:col>
      <xdr:colOff>73369</xdr:colOff>
      <xdr:row>21</xdr:row>
      <xdr:rowOff>173592</xdr:rowOff>
    </xdr:to>
    <xdr:sp macro="" textlink="$AX$3">
      <xdr:nvSpPr>
        <xdr:cNvPr id="751" name="Retângulo 750">
          <a:extLst>
            <a:ext uri="{FF2B5EF4-FFF2-40B4-BE49-F238E27FC236}">
              <a16:creationId xmlns:a16="http://schemas.microsoft.com/office/drawing/2014/main" id="{4A7E6883-C096-B181-C556-E3DE35F95138}"/>
            </a:ext>
          </a:extLst>
        </xdr:cNvPr>
        <xdr:cNvSpPr/>
      </xdr:nvSpPr>
      <xdr:spPr>
        <a:xfrm>
          <a:off x="2097636" y="4828826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667DEF7-F8E5-48E3-8681-73C9D92510D5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21</xdr:row>
      <xdr:rowOff>29405</xdr:rowOff>
    </xdr:from>
    <xdr:to>
      <xdr:col>3</xdr:col>
      <xdr:colOff>399706</xdr:colOff>
      <xdr:row>21</xdr:row>
      <xdr:rowOff>181495</xdr:rowOff>
    </xdr:to>
    <xdr:sp macro="" textlink="$AX$2">
      <xdr:nvSpPr>
        <xdr:cNvPr id="752" name="Retângulo 751">
          <a:extLst>
            <a:ext uri="{FF2B5EF4-FFF2-40B4-BE49-F238E27FC236}">
              <a16:creationId xmlns:a16="http://schemas.microsoft.com/office/drawing/2014/main" id="{1D04FDCE-BFBC-7E43-9B55-0678AABBC454}"/>
            </a:ext>
          </a:extLst>
        </xdr:cNvPr>
        <xdr:cNvSpPr/>
      </xdr:nvSpPr>
      <xdr:spPr>
        <a:xfrm>
          <a:off x="2422816" y="4836729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82050CE-4FAD-433E-897C-CC9A61B72520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631919</xdr:colOff>
      <xdr:row>22</xdr:row>
      <xdr:rowOff>4275</xdr:rowOff>
    </xdr:from>
    <xdr:to>
      <xdr:col>2</xdr:col>
      <xdr:colOff>927270</xdr:colOff>
      <xdr:row>22</xdr:row>
      <xdr:rowOff>156365</xdr:rowOff>
    </xdr:to>
    <xdr:sp macro="" textlink="">
      <xdr:nvSpPr>
        <xdr:cNvPr id="753" name="Retângulo 752">
          <a:extLst>
            <a:ext uri="{FF2B5EF4-FFF2-40B4-BE49-F238E27FC236}">
              <a16:creationId xmlns:a16="http://schemas.microsoft.com/office/drawing/2014/main" id="{DB29CB25-B77F-27E7-9802-0F251CDCC2DC}"/>
            </a:ext>
          </a:extLst>
        </xdr:cNvPr>
        <xdr:cNvSpPr/>
      </xdr:nvSpPr>
      <xdr:spPr>
        <a:xfrm>
          <a:off x="1774919" y="5002099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58</a:t>
          </a:r>
        </a:p>
      </xdr:txBody>
    </xdr:sp>
    <xdr:clientData/>
  </xdr:twoCellAnchor>
  <xdr:twoCellAnchor>
    <xdr:from>
      <xdr:col>2</xdr:col>
      <xdr:colOff>954636</xdr:colOff>
      <xdr:row>21</xdr:row>
      <xdr:rowOff>188840</xdr:rowOff>
    </xdr:from>
    <xdr:to>
      <xdr:col>3</xdr:col>
      <xdr:colOff>73369</xdr:colOff>
      <xdr:row>22</xdr:row>
      <xdr:rowOff>150430</xdr:rowOff>
    </xdr:to>
    <xdr:sp macro="" textlink="$AY$3">
      <xdr:nvSpPr>
        <xdr:cNvPr id="754" name="Retângulo 753">
          <a:extLst>
            <a:ext uri="{FF2B5EF4-FFF2-40B4-BE49-F238E27FC236}">
              <a16:creationId xmlns:a16="http://schemas.microsoft.com/office/drawing/2014/main" id="{CA419FB3-ADA1-4713-F936-9D6557920776}"/>
            </a:ext>
          </a:extLst>
        </xdr:cNvPr>
        <xdr:cNvSpPr/>
      </xdr:nvSpPr>
      <xdr:spPr>
        <a:xfrm>
          <a:off x="2097636" y="4996164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CA3AB1E-A0E6-4759-B8E0-B1EE1C41EADC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22</xdr:row>
      <xdr:rowOff>6348</xdr:rowOff>
    </xdr:from>
    <xdr:to>
      <xdr:col>3</xdr:col>
      <xdr:colOff>399706</xdr:colOff>
      <xdr:row>22</xdr:row>
      <xdr:rowOff>158438</xdr:rowOff>
    </xdr:to>
    <xdr:sp macro="" textlink="$AY$2">
      <xdr:nvSpPr>
        <xdr:cNvPr id="755" name="Retângulo 754">
          <a:extLst>
            <a:ext uri="{FF2B5EF4-FFF2-40B4-BE49-F238E27FC236}">
              <a16:creationId xmlns:a16="http://schemas.microsoft.com/office/drawing/2014/main" id="{68EE71DA-7C24-12A5-21D5-1A952027CF26}"/>
            </a:ext>
          </a:extLst>
        </xdr:cNvPr>
        <xdr:cNvSpPr/>
      </xdr:nvSpPr>
      <xdr:spPr>
        <a:xfrm>
          <a:off x="2422816" y="5004172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E1B0BB7-E530-46F8-B583-890BE91AED37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63,1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631921</xdr:colOff>
      <xdr:row>22</xdr:row>
      <xdr:rowOff>169763</xdr:rowOff>
    </xdr:from>
    <xdr:to>
      <xdr:col>2</xdr:col>
      <xdr:colOff>927272</xdr:colOff>
      <xdr:row>23</xdr:row>
      <xdr:rowOff>131353</xdr:rowOff>
    </xdr:to>
    <xdr:sp macro="" textlink="">
      <xdr:nvSpPr>
        <xdr:cNvPr id="756" name="Retângulo 755">
          <a:extLst>
            <a:ext uri="{FF2B5EF4-FFF2-40B4-BE49-F238E27FC236}">
              <a16:creationId xmlns:a16="http://schemas.microsoft.com/office/drawing/2014/main" id="{C73B03B0-A612-3FA8-0E38-95508FF34947}"/>
            </a:ext>
          </a:extLst>
        </xdr:cNvPr>
        <xdr:cNvSpPr/>
      </xdr:nvSpPr>
      <xdr:spPr>
        <a:xfrm>
          <a:off x="1774921" y="5167587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59</a:t>
          </a:r>
        </a:p>
      </xdr:txBody>
    </xdr:sp>
    <xdr:clientData/>
  </xdr:twoCellAnchor>
  <xdr:twoCellAnchor>
    <xdr:from>
      <xdr:col>2</xdr:col>
      <xdr:colOff>954636</xdr:colOff>
      <xdr:row>22</xdr:row>
      <xdr:rowOff>166210</xdr:rowOff>
    </xdr:from>
    <xdr:to>
      <xdr:col>3</xdr:col>
      <xdr:colOff>73369</xdr:colOff>
      <xdr:row>23</xdr:row>
      <xdr:rowOff>127800</xdr:rowOff>
    </xdr:to>
    <xdr:sp macro="" textlink="$AZ$3">
      <xdr:nvSpPr>
        <xdr:cNvPr id="757" name="Retângulo 756">
          <a:extLst>
            <a:ext uri="{FF2B5EF4-FFF2-40B4-BE49-F238E27FC236}">
              <a16:creationId xmlns:a16="http://schemas.microsoft.com/office/drawing/2014/main" id="{75EE76B6-92A7-94BE-0B60-8DDB8703D124}"/>
            </a:ext>
          </a:extLst>
        </xdr:cNvPr>
        <xdr:cNvSpPr/>
      </xdr:nvSpPr>
      <xdr:spPr>
        <a:xfrm>
          <a:off x="2097636" y="5164034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FDFB8351-6D06-4CDE-8DAF-2470BA6EA0DD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22</xdr:row>
      <xdr:rowOff>171410</xdr:rowOff>
    </xdr:from>
    <xdr:to>
      <xdr:col>3</xdr:col>
      <xdr:colOff>399706</xdr:colOff>
      <xdr:row>23</xdr:row>
      <xdr:rowOff>133000</xdr:rowOff>
    </xdr:to>
    <xdr:sp macro="" textlink="$AZ$2">
      <xdr:nvSpPr>
        <xdr:cNvPr id="758" name="Retângulo 757">
          <a:extLst>
            <a:ext uri="{FF2B5EF4-FFF2-40B4-BE49-F238E27FC236}">
              <a16:creationId xmlns:a16="http://schemas.microsoft.com/office/drawing/2014/main" id="{187A7BE3-AB2D-E344-24CB-A16E44E4E8D5}"/>
            </a:ext>
          </a:extLst>
        </xdr:cNvPr>
        <xdr:cNvSpPr/>
      </xdr:nvSpPr>
      <xdr:spPr>
        <a:xfrm>
          <a:off x="2422816" y="5169234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F4B2321A-747B-4454-A284-33039BC84210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63,1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631922</xdr:colOff>
      <xdr:row>23</xdr:row>
      <xdr:rowOff>146607</xdr:rowOff>
    </xdr:from>
    <xdr:to>
      <xdr:col>2</xdr:col>
      <xdr:colOff>927273</xdr:colOff>
      <xdr:row>24</xdr:row>
      <xdr:rowOff>108197</xdr:rowOff>
    </xdr:to>
    <xdr:sp macro="" textlink="">
      <xdr:nvSpPr>
        <xdr:cNvPr id="759" name="Retângulo 758">
          <a:extLst>
            <a:ext uri="{FF2B5EF4-FFF2-40B4-BE49-F238E27FC236}">
              <a16:creationId xmlns:a16="http://schemas.microsoft.com/office/drawing/2014/main" id="{B9663606-B8C5-05B6-9AA9-E8F24189ED2A}"/>
            </a:ext>
          </a:extLst>
        </xdr:cNvPr>
        <xdr:cNvSpPr/>
      </xdr:nvSpPr>
      <xdr:spPr>
        <a:xfrm>
          <a:off x="1774922" y="5334931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60</a:t>
          </a:r>
        </a:p>
      </xdr:txBody>
    </xdr:sp>
    <xdr:clientData/>
  </xdr:twoCellAnchor>
  <xdr:twoCellAnchor>
    <xdr:from>
      <xdr:col>2</xdr:col>
      <xdr:colOff>954636</xdr:colOff>
      <xdr:row>23</xdr:row>
      <xdr:rowOff>140667</xdr:rowOff>
    </xdr:from>
    <xdr:to>
      <xdr:col>3</xdr:col>
      <xdr:colOff>73369</xdr:colOff>
      <xdr:row>24</xdr:row>
      <xdr:rowOff>102257</xdr:rowOff>
    </xdr:to>
    <xdr:sp macro="" textlink="$BA$3">
      <xdr:nvSpPr>
        <xdr:cNvPr id="760" name="Retângulo 759">
          <a:extLst>
            <a:ext uri="{FF2B5EF4-FFF2-40B4-BE49-F238E27FC236}">
              <a16:creationId xmlns:a16="http://schemas.microsoft.com/office/drawing/2014/main" id="{2B5186E0-2950-3D97-BE73-D39494417592}"/>
            </a:ext>
          </a:extLst>
        </xdr:cNvPr>
        <xdr:cNvSpPr/>
      </xdr:nvSpPr>
      <xdr:spPr>
        <a:xfrm>
          <a:off x="2097636" y="5328991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995E02D-A2D5-430A-B12F-F5A7B6A362ED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23</xdr:row>
      <xdr:rowOff>145968</xdr:rowOff>
    </xdr:from>
    <xdr:to>
      <xdr:col>3</xdr:col>
      <xdr:colOff>399706</xdr:colOff>
      <xdr:row>24</xdr:row>
      <xdr:rowOff>107558</xdr:rowOff>
    </xdr:to>
    <xdr:sp macro="" textlink="$BA$2">
      <xdr:nvSpPr>
        <xdr:cNvPr id="761" name="Retângulo 760">
          <a:extLst>
            <a:ext uri="{FF2B5EF4-FFF2-40B4-BE49-F238E27FC236}">
              <a16:creationId xmlns:a16="http://schemas.microsoft.com/office/drawing/2014/main" id="{D262AEF0-CE54-5721-CA25-8DBADCF4B078}"/>
            </a:ext>
          </a:extLst>
        </xdr:cNvPr>
        <xdr:cNvSpPr/>
      </xdr:nvSpPr>
      <xdr:spPr>
        <a:xfrm>
          <a:off x="2422816" y="5334292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26F1DB7-9DEA-4A65-B8BA-71DF6693EB13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631920</xdr:colOff>
      <xdr:row>24</xdr:row>
      <xdr:rowOff>123441</xdr:rowOff>
    </xdr:from>
    <xdr:to>
      <xdr:col>2</xdr:col>
      <xdr:colOff>927271</xdr:colOff>
      <xdr:row>25</xdr:row>
      <xdr:rowOff>85031</xdr:rowOff>
    </xdr:to>
    <xdr:sp macro="" textlink="">
      <xdr:nvSpPr>
        <xdr:cNvPr id="762" name="Retângulo 761">
          <a:extLst>
            <a:ext uri="{FF2B5EF4-FFF2-40B4-BE49-F238E27FC236}">
              <a16:creationId xmlns:a16="http://schemas.microsoft.com/office/drawing/2014/main" id="{3CDF344F-EE0C-31AB-7CBF-227137B00032}"/>
            </a:ext>
          </a:extLst>
        </xdr:cNvPr>
        <xdr:cNvSpPr/>
      </xdr:nvSpPr>
      <xdr:spPr>
        <a:xfrm>
          <a:off x="1774920" y="5502265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chemeClr val="lt1"/>
              </a:solidFill>
              <a:latin typeface="+mn-lt"/>
              <a:ea typeface="+mn-ea"/>
              <a:cs typeface="+mn-cs"/>
            </a:rPr>
            <a:t>61</a:t>
          </a:r>
        </a:p>
      </xdr:txBody>
    </xdr:sp>
    <xdr:clientData/>
  </xdr:twoCellAnchor>
  <xdr:twoCellAnchor>
    <xdr:from>
      <xdr:col>2</xdr:col>
      <xdr:colOff>954639</xdr:colOff>
      <xdr:row>24</xdr:row>
      <xdr:rowOff>117505</xdr:rowOff>
    </xdr:from>
    <xdr:to>
      <xdr:col>3</xdr:col>
      <xdr:colOff>73372</xdr:colOff>
      <xdr:row>25</xdr:row>
      <xdr:rowOff>79095</xdr:rowOff>
    </xdr:to>
    <xdr:sp macro="" textlink="$BB$3">
      <xdr:nvSpPr>
        <xdr:cNvPr id="763" name="Retângulo 762">
          <a:extLst>
            <a:ext uri="{FF2B5EF4-FFF2-40B4-BE49-F238E27FC236}">
              <a16:creationId xmlns:a16="http://schemas.microsoft.com/office/drawing/2014/main" id="{A5B9CACF-E8A8-CB4D-CF41-9561D459FF2B}"/>
            </a:ext>
          </a:extLst>
        </xdr:cNvPr>
        <xdr:cNvSpPr/>
      </xdr:nvSpPr>
      <xdr:spPr>
        <a:xfrm>
          <a:off x="2097639" y="5496329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17F8471-F2A3-4974-833E-FFD01F229E63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24</xdr:row>
      <xdr:rowOff>121739</xdr:rowOff>
    </xdr:from>
    <xdr:to>
      <xdr:col>3</xdr:col>
      <xdr:colOff>399706</xdr:colOff>
      <xdr:row>25</xdr:row>
      <xdr:rowOff>83329</xdr:rowOff>
    </xdr:to>
    <xdr:sp macro="" textlink="$BB$2">
      <xdr:nvSpPr>
        <xdr:cNvPr id="764" name="Retângulo 763">
          <a:extLst>
            <a:ext uri="{FF2B5EF4-FFF2-40B4-BE49-F238E27FC236}">
              <a16:creationId xmlns:a16="http://schemas.microsoft.com/office/drawing/2014/main" id="{52650105-72F0-D891-41FB-99643F5C8E6D}"/>
            </a:ext>
          </a:extLst>
        </xdr:cNvPr>
        <xdr:cNvSpPr/>
      </xdr:nvSpPr>
      <xdr:spPr>
        <a:xfrm>
          <a:off x="2422816" y="5500563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A5BEE65-DA06-46B8-8197-7C91905853D8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63,3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631920</xdr:colOff>
      <xdr:row>25</xdr:row>
      <xdr:rowOff>97899</xdr:rowOff>
    </xdr:from>
    <xdr:to>
      <xdr:col>2</xdr:col>
      <xdr:colOff>927271</xdr:colOff>
      <xdr:row>26</xdr:row>
      <xdr:rowOff>59489</xdr:rowOff>
    </xdr:to>
    <xdr:sp macro="" textlink="">
      <xdr:nvSpPr>
        <xdr:cNvPr id="765" name="Retângulo 764">
          <a:extLst>
            <a:ext uri="{FF2B5EF4-FFF2-40B4-BE49-F238E27FC236}">
              <a16:creationId xmlns:a16="http://schemas.microsoft.com/office/drawing/2014/main" id="{5F386ECE-83C1-7B94-C17B-882B8C71D76B}"/>
            </a:ext>
          </a:extLst>
        </xdr:cNvPr>
        <xdr:cNvSpPr/>
      </xdr:nvSpPr>
      <xdr:spPr>
        <a:xfrm>
          <a:off x="1774920" y="5667223"/>
          <a:ext cx="295351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62</a:t>
          </a:r>
        </a:p>
      </xdr:txBody>
    </xdr:sp>
    <xdr:clientData/>
  </xdr:twoCellAnchor>
  <xdr:twoCellAnchor>
    <xdr:from>
      <xdr:col>2</xdr:col>
      <xdr:colOff>954636</xdr:colOff>
      <xdr:row>25</xdr:row>
      <xdr:rowOff>94343</xdr:rowOff>
    </xdr:from>
    <xdr:to>
      <xdr:col>3</xdr:col>
      <xdr:colOff>73369</xdr:colOff>
      <xdr:row>26</xdr:row>
      <xdr:rowOff>55933</xdr:rowOff>
    </xdr:to>
    <xdr:sp macro="" textlink="$BC$3">
      <xdr:nvSpPr>
        <xdr:cNvPr id="766" name="Retângulo 765">
          <a:extLst>
            <a:ext uri="{FF2B5EF4-FFF2-40B4-BE49-F238E27FC236}">
              <a16:creationId xmlns:a16="http://schemas.microsoft.com/office/drawing/2014/main" id="{E76AAC3B-E338-E0D3-8B12-B30EF9E543A7}"/>
            </a:ext>
          </a:extLst>
        </xdr:cNvPr>
        <xdr:cNvSpPr/>
      </xdr:nvSpPr>
      <xdr:spPr>
        <a:xfrm>
          <a:off x="2097636" y="5663667"/>
          <a:ext cx="29535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38EA0C3-0AC5-4D1F-B1DE-97A18F66FF51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103198</xdr:colOff>
      <xdr:row>25</xdr:row>
      <xdr:rowOff>98683</xdr:rowOff>
    </xdr:from>
    <xdr:to>
      <xdr:col>3</xdr:col>
      <xdr:colOff>399706</xdr:colOff>
      <xdr:row>26</xdr:row>
      <xdr:rowOff>60273</xdr:rowOff>
    </xdr:to>
    <xdr:sp macro="" textlink="$BC$2">
      <xdr:nvSpPr>
        <xdr:cNvPr id="767" name="Retângulo 766">
          <a:extLst>
            <a:ext uri="{FF2B5EF4-FFF2-40B4-BE49-F238E27FC236}">
              <a16:creationId xmlns:a16="http://schemas.microsoft.com/office/drawing/2014/main" id="{8A9A639D-56AC-6C7B-EC8A-6D91DE94630C}"/>
            </a:ext>
          </a:extLst>
        </xdr:cNvPr>
        <xdr:cNvSpPr/>
      </xdr:nvSpPr>
      <xdr:spPr>
        <a:xfrm>
          <a:off x="2422816" y="5668007"/>
          <a:ext cx="29650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05FD35B-1881-4DE7-BA30-7A8BBA13BDDC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63,4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13</xdr:row>
      <xdr:rowOff>56258</xdr:rowOff>
    </xdr:from>
    <xdr:to>
      <xdr:col>3</xdr:col>
      <xdr:colOff>718915</xdr:colOff>
      <xdr:row>14</xdr:row>
      <xdr:rowOff>17848</xdr:rowOff>
    </xdr:to>
    <xdr:sp macro="" textlink="$AO$5">
      <xdr:nvSpPr>
        <xdr:cNvPr id="768" name="Retângulo 767">
          <a:extLst>
            <a:ext uri="{FF2B5EF4-FFF2-40B4-BE49-F238E27FC236}">
              <a16:creationId xmlns:a16="http://schemas.microsoft.com/office/drawing/2014/main" id="{7B30649A-06AB-6214-16A2-44B8BCEE7BD2}"/>
            </a:ext>
          </a:extLst>
        </xdr:cNvPr>
        <xdr:cNvSpPr/>
      </xdr:nvSpPr>
      <xdr:spPr>
        <a:xfrm>
          <a:off x="2744495" y="3339582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F0681B6-C010-46C3-9AB4-EC5D3E72928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14</xdr:row>
      <xdr:rowOff>32097</xdr:rowOff>
    </xdr:from>
    <xdr:to>
      <xdr:col>3</xdr:col>
      <xdr:colOff>718915</xdr:colOff>
      <xdr:row>14</xdr:row>
      <xdr:rowOff>184187</xdr:rowOff>
    </xdr:to>
    <xdr:sp macro="" textlink="$AP$5">
      <xdr:nvSpPr>
        <xdr:cNvPr id="769" name="Retângulo 768">
          <a:extLst>
            <a:ext uri="{FF2B5EF4-FFF2-40B4-BE49-F238E27FC236}">
              <a16:creationId xmlns:a16="http://schemas.microsoft.com/office/drawing/2014/main" id="{3A14B2EB-744B-B2E7-8E16-0369AF9259BE}"/>
            </a:ext>
          </a:extLst>
        </xdr:cNvPr>
        <xdr:cNvSpPr/>
      </xdr:nvSpPr>
      <xdr:spPr>
        <a:xfrm>
          <a:off x="2744495" y="3505921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2AC70DC-6A55-4F59-8761-CCB6CFD7C5B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15</xdr:row>
      <xdr:rowOff>7936</xdr:rowOff>
    </xdr:from>
    <xdr:to>
      <xdr:col>3</xdr:col>
      <xdr:colOff>718915</xdr:colOff>
      <xdr:row>15</xdr:row>
      <xdr:rowOff>160026</xdr:rowOff>
    </xdr:to>
    <xdr:sp macro="" textlink="$AQ$5">
      <xdr:nvSpPr>
        <xdr:cNvPr id="770" name="Retângulo 769">
          <a:extLst>
            <a:ext uri="{FF2B5EF4-FFF2-40B4-BE49-F238E27FC236}">
              <a16:creationId xmlns:a16="http://schemas.microsoft.com/office/drawing/2014/main" id="{AD43F0F6-56C1-3C2D-9194-0D3C53D5F499}"/>
            </a:ext>
          </a:extLst>
        </xdr:cNvPr>
        <xdr:cNvSpPr/>
      </xdr:nvSpPr>
      <xdr:spPr>
        <a:xfrm>
          <a:off x="2744495" y="3672260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874FBCF-484C-4B75-A854-D6BC80F0B66C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15</xdr:row>
      <xdr:rowOff>174275</xdr:rowOff>
    </xdr:from>
    <xdr:to>
      <xdr:col>3</xdr:col>
      <xdr:colOff>718915</xdr:colOff>
      <xdr:row>16</xdr:row>
      <xdr:rowOff>135865</xdr:rowOff>
    </xdr:to>
    <xdr:sp macro="" textlink="$AR$5">
      <xdr:nvSpPr>
        <xdr:cNvPr id="771" name="Retângulo 770">
          <a:extLst>
            <a:ext uri="{FF2B5EF4-FFF2-40B4-BE49-F238E27FC236}">
              <a16:creationId xmlns:a16="http://schemas.microsoft.com/office/drawing/2014/main" id="{3336D4C5-22EB-61D5-7B14-9C13263A857A}"/>
            </a:ext>
          </a:extLst>
        </xdr:cNvPr>
        <xdr:cNvSpPr/>
      </xdr:nvSpPr>
      <xdr:spPr>
        <a:xfrm>
          <a:off x="2744495" y="3838599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4E3BFA1-496C-422F-9C09-E60BC292B0F8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16</xdr:row>
      <xdr:rowOff>150114</xdr:rowOff>
    </xdr:from>
    <xdr:to>
      <xdr:col>3</xdr:col>
      <xdr:colOff>718915</xdr:colOff>
      <xdr:row>17</xdr:row>
      <xdr:rowOff>111704</xdr:rowOff>
    </xdr:to>
    <xdr:sp macro="" textlink="$AS$5">
      <xdr:nvSpPr>
        <xdr:cNvPr id="772" name="Retângulo 771">
          <a:extLst>
            <a:ext uri="{FF2B5EF4-FFF2-40B4-BE49-F238E27FC236}">
              <a16:creationId xmlns:a16="http://schemas.microsoft.com/office/drawing/2014/main" id="{B58D14D2-F2EC-FC2E-4204-63C4467F20B0}"/>
            </a:ext>
          </a:extLst>
        </xdr:cNvPr>
        <xdr:cNvSpPr/>
      </xdr:nvSpPr>
      <xdr:spPr>
        <a:xfrm>
          <a:off x="2744495" y="4004938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48F1570-61C5-4BBF-93FC-9DDEFC7F85BB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17</xdr:row>
      <xdr:rowOff>127760</xdr:rowOff>
    </xdr:from>
    <xdr:to>
      <xdr:col>3</xdr:col>
      <xdr:colOff>718915</xdr:colOff>
      <xdr:row>18</xdr:row>
      <xdr:rowOff>89350</xdr:rowOff>
    </xdr:to>
    <xdr:sp macro="" textlink="$AT$5">
      <xdr:nvSpPr>
        <xdr:cNvPr id="773" name="Retângulo 772">
          <a:extLst>
            <a:ext uri="{FF2B5EF4-FFF2-40B4-BE49-F238E27FC236}">
              <a16:creationId xmlns:a16="http://schemas.microsoft.com/office/drawing/2014/main" id="{F695A796-D040-0151-0BE0-7D25D6DCA66B}"/>
            </a:ext>
          </a:extLst>
        </xdr:cNvPr>
        <xdr:cNvSpPr/>
      </xdr:nvSpPr>
      <xdr:spPr>
        <a:xfrm>
          <a:off x="2744495" y="4173084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4C4D481-E996-4908-A772-F8CC7F277E55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18</xdr:row>
      <xdr:rowOff>103025</xdr:rowOff>
    </xdr:from>
    <xdr:to>
      <xdr:col>3</xdr:col>
      <xdr:colOff>718915</xdr:colOff>
      <xdr:row>19</xdr:row>
      <xdr:rowOff>64615</xdr:rowOff>
    </xdr:to>
    <xdr:sp macro="" textlink="$AU$5">
      <xdr:nvSpPr>
        <xdr:cNvPr id="774" name="Retângulo 773">
          <a:extLst>
            <a:ext uri="{FF2B5EF4-FFF2-40B4-BE49-F238E27FC236}">
              <a16:creationId xmlns:a16="http://schemas.microsoft.com/office/drawing/2014/main" id="{A5EE044D-FEE9-0788-0278-38ED72E79CAA}"/>
            </a:ext>
          </a:extLst>
        </xdr:cNvPr>
        <xdr:cNvSpPr/>
      </xdr:nvSpPr>
      <xdr:spPr>
        <a:xfrm>
          <a:off x="2744495" y="4338849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E5498F0-C162-4E3A-A2B6-7C99D00E818D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424881</xdr:colOff>
      <xdr:row>19</xdr:row>
      <xdr:rowOff>80006</xdr:rowOff>
    </xdr:from>
    <xdr:to>
      <xdr:col>3</xdr:col>
      <xdr:colOff>718919</xdr:colOff>
      <xdr:row>20</xdr:row>
      <xdr:rowOff>41596</xdr:rowOff>
    </xdr:to>
    <xdr:sp macro="" textlink="$AV$5">
      <xdr:nvSpPr>
        <xdr:cNvPr id="775" name="Retângulo 774">
          <a:extLst>
            <a:ext uri="{FF2B5EF4-FFF2-40B4-BE49-F238E27FC236}">
              <a16:creationId xmlns:a16="http://schemas.microsoft.com/office/drawing/2014/main" id="{6F115C41-FA70-D99D-93B8-4795FAC0ED6E}"/>
            </a:ext>
          </a:extLst>
        </xdr:cNvPr>
        <xdr:cNvSpPr/>
      </xdr:nvSpPr>
      <xdr:spPr>
        <a:xfrm>
          <a:off x="2744499" y="4506330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7F77F50-95ED-4175-A8C9-7018B89661E5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20</xdr:row>
      <xdr:rowOff>55851</xdr:rowOff>
    </xdr:from>
    <xdr:to>
      <xdr:col>3</xdr:col>
      <xdr:colOff>718915</xdr:colOff>
      <xdr:row>21</xdr:row>
      <xdr:rowOff>17441</xdr:rowOff>
    </xdr:to>
    <xdr:sp macro="" textlink="$AW$5">
      <xdr:nvSpPr>
        <xdr:cNvPr id="776" name="Retângulo 775">
          <a:extLst>
            <a:ext uri="{FF2B5EF4-FFF2-40B4-BE49-F238E27FC236}">
              <a16:creationId xmlns:a16="http://schemas.microsoft.com/office/drawing/2014/main" id="{28B65025-174F-97EB-71CE-5F9548A1FDAA}"/>
            </a:ext>
          </a:extLst>
        </xdr:cNvPr>
        <xdr:cNvSpPr/>
      </xdr:nvSpPr>
      <xdr:spPr>
        <a:xfrm>
          <a:off x="2744495" y="4672675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6E50F40-6486-4730-BFE4-1645815C18BC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21</xdr:row>
      <xdr:rowOff>31690</xdr:rowOff>
    </xdr:from>
    <xdr:to>
      <xdr:col>3</xdr:col>
      <xdr:colOff>718915</xdr:colOff>
      <xdr:row>21</xdr:row>
      <xdr:rowOff>183780</xdr:rowOff>
    </xdr:to>
    <xdr:sp macro="" textlink="$AY$5">
      <xdr:nvSpPr>
        <xdr:cNvPr id="777" name="Retângulo 776">
          <a:extLst>
            <a:ext uri="{FF2B5EF4-FFF2-40B4-BE49-F238E27FC236}">
              <a16:creationId xmlns:a16="http://schemas.microsoft.com/office/drawing/2014/main" id="{527D5A89-1004-6949-4977-BDFE131F6F68}"/>
            </a:ext>
          </a:extLst>
        </xdr:cNvPr>
        <xdr:cNvSpPr/>
      </xdr:nvSpPr>
      <xdr:spPr>
        <a:xfrm>
          <a:off x="2744495" y="4839014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D0FA75B-6842-44E3-9BDF-B28EDE79E87F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22</xdr:row>
      <xdr:rowOff>7504</xdr:rowOff>
    </xdr:from>
    <xdr:to>
      <xdr:col>3</xdr:col>
      <xdr:colOff>718915</xdr:colOff>
      <xdr:row>22</xdr:row>
      <xdr:rowOff>159594</xdr:rowOff>
    </xdr:to>
    <xdr:sp macro="" textlink="$AY$5">
      <xdr:nvSpPr>
        <xdr:cNvPr id="778" name="Retângulo 777">
          <a:extLst>
            <a:ext uri="{FF2B5EF4-FFF2-40B4-BE49-F238E27FC236}">
              <a16:creationId xmlns:a16="http://schemas.microsoft.com/office/drawing/2014/main" id="{91A648F1-3579-6203-1BED-75D7CED53671}"/>
            </a:ext>
          </a:extLst>
        </xdr:cNvPr>
        <xdr:cNvSpPr/>
      </xdr:nvSpPr>
      <xdr:spPr>
        <a:xfrm>
          <a:off x="2744495" y="5005328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BE20A57-C7A7-4F9D-9DFD-EAFE6F3BE157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22</xdr:row>
      <xdr:rowOff>173824</xdr:rowOff>
    </xdr:from>
    <xdr:to>
      <xdr:col>3</xdr:col>
      <xdr:colOff>718915</xdr:colOff>
      <xdr:row>23</xdr:row>
      <xdr:rowOff>135414</xdr:rowOff>
    </xdr:to>
    <xdr:sp macro="" textlink="$AZ$5">
      <xdr:nvSpPr>
        <xdr:cNvPr id="779" name="Retângulo 778">
          <a:extLst>
            <a:ext uri="{FF2B5EF4-FFF2-40B4-BE49-F238E27FC236}">
              <a16:creationId xmlns:a16="http://schemas.microsoft.com/office/drawing/2014/main" id="{1524F064-54FC-7ADC-639C-906401C89C9D}"/>
            </a:ext>
          </a:extLst>
        </xdr:cNvPr>
        <xdr:cNvSpPr/>
      </xdr:nvSpPr>
      <xdr:spPr>
        <a:xfrm>
          <a:off x="2744495" y="5171648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F67135D-A4DD-4883-B5BF-32696C12A5BB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23</xdr:row>
      <xdr:rowOff>149646</xdr:rowOff>
    </xdr:from>
    <xdr:to>
      <xdr:col>3</xdr:col>
      <xdr:colOff>718915</xdr:colOff>
      <xdr:row>24</xdr:row>
      <xdr:rowOff>111236</xdr:rowOff>
    </xdr:to>
    <xdr:sp macro="" textlink="$BA$5">
      <xdr:nvSpPr>
        <xdr:cNvPr id="780" name="Retângulo 779">
          <a:extLst>
            <a:ext uri="{FF2B5EF4-FFF2-40B4-BE49-F238E27FC236}">
              <a16:creationId xmlns:a16="http://schemas.microsoft.com/office/drawing/2014/main" id="{AE865778-EB18-B088-5F9E-2D0B1F07C736}"/>
            </a:ext>
          </a:extLst>
        </xdr:cNvPr>
        <xdr:cNvSpPr/>
      </xdr:nvSpPr>
      <xdr:spPr>
        <a:xfrm>
          <a:off x="2744495" y="5337970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61EDB75-335D-40CB-ABAB-CCAD58C4F9E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24</xdr:row>
      <xdr:rowOff>125459</xdr:rowOff>
    </xdr:from>
    <xdr:to>
      <xdr:col>3</xdr:col>
      <xdr:colOff>718915</xdr:colOff>
      <xdr:row>25</xdr:row>
      <xdr:rowOff>87049</xdr:rowOff>
    </xdr:to>
    <xdr:sp macro="" textlink="$BB$5">
      <xdr:nvSpPr>
        <xdr:cNvPr id="781" name="Retângulo 780">
          <a:extLst>
            <a:ext uri="{FF2B5EF4-FFF2-40B4-BE49-F238E27FC236}">
              <a16:creationId xmlns:a16="http://schemas.microsoft.com/office/drawing/2014/main" id="{2BB70E68-5D58-669E-1D8D-106EAB3860EA}"/>
            </a:ext>
          </a:extLst>
        </xdr:cNvPr>
        <xdr:cNvSpPr/>
      </xdr:nvSpPr>
      <xdr:spPr>
        <a:xfrm>
          <a:off x="2744495" y="5504283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D18A098-2CE0-423A-AD61-14FD79D55168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424877</xdr:colOff>
      <xdr:row>25</xdr:row>
      <xdr:rowOff>101277</xdr:rowOff>
    </xdr:from>
    <xdr:to>
      <xdr:col>3</xdr:col>
      <xdr:colOff>718915</xdr:colOff>
      <xdr:row>26</xdr:row>
      <xdr:rowOff>62867</xdr:rowOff>
    </xdr:to>
    <xdr:sp macro="" textlink="$BC$5">
      <xdr:nvSpPr>
        <xdr:cNvPr id="782" name="Retângulo 781">
          <a:extLst>
            <a:ext uri="{FF2B5EF4-FFF2-40B4-BE49-F238E27FC236}">
              <a16:creationId xmlns:a16="http://schemas.microsoft.com/office/drawing/2014/main" id="{9C241C56-0A19-1B63-C8CA-2D63E2191B0D}"/>
            </a:ext>
          </a:extLst>
        </xdr:cNvPr>
        <xdr:cNvSpPr/>
      </xdr:nvSpPr>
      <xdr:spPr>
        <a:xfrm>
          <a:off x="2744495" y="5670601"/>
          <a:ext cx="2940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24C8ECA-1E39-4934-B0B4-A88ABEFFDAFD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634395</xdr:colOff>
      <xdr:row>12</xdr:row>
      <xdr:rowOff>77517</xdr:rowOff>
    </xdr:from>
    <xdr:to>
      <xdr:col>2</xdr:col>
      <xdr:colOff>929085</xdr:colOff>
      <xdr:row>13</xdr:row>
      <xdr:rowOff>39107</xdr:rowOff>
    </xdr:to>
    <xdr:sp macro="" textlink="">
      <xdr:nvSpPr>
        <xdr:cNvPr id="783" name="Retângulo 782">
          <a:extLst>
            <a:ext uri="{FF2B5EF4-FFF2-40B4-BE49-F238E27FC236}">
              <a16:creationId xmlns:a16="http://schemas.microsoft.com/office/drawing/2014/main" id="{20A72D7F-7135-F104-18E4-61DBF8BD7834}"/>
            </a:ext>
          </a:extLst>
        </xdr:cNvPr>
        <xdr:cNvSpPr/>
      </xdr:nvSpPr>
      <xdr:spPr>
        <a:xfrm>
          <a:off x="1777395" y="3170341"/>
          <a:ext cx="29469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47</a:t>
          </a:r>
        </a:p>
      </xdr:txBody>
    </xdr:sp>
    <xdr:clientData/>
  </xdr:twoCellAnchor>
  <xdr:twoCellAnchor>
    <xdr:from>
      <xdr:col>2</xdr:col>
      <xdr:colOff>953990</xdr:colOff>
      <xdr:row>12</xdr:row>
      <xdr:rowOff>76348</xdr:rowOff>
    </xdr:from>
    <xdr:to>
      <xdr:col>3</xdr:col>
      <xdr:colOff>72062</xdr:colOff>
      <xdr:row>13</xdr:row>
      <xdr:rowOff>37938</xdr:rowOff>
    </xdr:to>
    <xdr:sp macro="" textlink="$AN$3">
      <xdr:nvSpPr>
        <xdr:cNvPr id="784" name="Retângulo 783">
          <a:extLst>
            <a:ext uri="{FF2B5EF4-FFF2-40B4-BE49-F238E27FC236}">
              <a16:creationId xmlns:a16="http://schemas.microsoft.com/office/drawing/2014/main" id="{9D8BC29B-EDB5-46F7-254D-FCEA89876AA6}"/>
            </a:ext>
          </a:extLst>
        </xdr:cNvPr>
        <xdr:cNvSpPr/>
      </xdr:nvSpPr>
      <xdr:spPr>
        <a:xfrm>
          <a:off x="2096990" y="3169172"/>
          <a:ext cx="29469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2113464-9931-4DFF-8B79-A429CB057FE1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104178</xdr:colOff>
      <xdr:row>12</xdr:row>
      <xdr:rowOff>77522</xdr:rowOff>
    </xdr:from>
    <xdr:to>
      <xdr:col>3</xdr:col>
      <xdr:colOff>394910</xdr:colOff>
      <xdr:row>13</xdr:row>
      <xdr:rowOff>39112</xdr:rowOff>
    </xdr:to>
    <xdr:sp macro="" textlink="$AN$2">
      <xdr:nvSpPr>
        <xdr:cNvPr id="785" name="Retângulo 784">
          <a:extLst>
            <a:ext uri="{FF2B5EF4-FFF2-40B4-BE49-F238E27FC236}">
              <a16:creationId xmlns:a16="http://schemas.microsoft.com/office/drawing/2014/main" id="{ECEFB4CC-9F33-0467-8E17-9BF4225DFF30}"/>
            </a:ext>
          </a:extLst>
        </xdr:cNvPr>
        <xdr:cNvSpPr/>
      </xdr:nvSpPr>
      <xdr:spPr>
        <a:xfrm>
          <a:off x="2423796" y="3170346"/>
          <a:ext cx="290732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3B0C0C6-175B-435B-B899-C97EE0B7180C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61,9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426802</xdr:colOff>
      <xdr:row>12</xdr:row>
      <xdr:rowOff>79709</xdr:rowOff>
    </xdr:from>
    <xdr:to>
      <xdr:col>3</xdr:col>
      <xdr:colOff>720180</xdr:colOff>
      <xdr:row>13</xdr:row>
      <xdr:rowOff>41299</xdr:rowOff>
    </xdr:to>
    <xdr:sp macro="" textlink="$AN$5">
      <xdr:nvSpPr>
        <xdr:cNvPr id="786" name="Retângulo 785">
          <a:extLst>
            <a:ext uri="{FF2B5EF4-FFF2-40B4-BE49-F238E27FC236}">
              <a16:creationId xmlns:a16="http://schemas.microsoft.com/office/drawing/2014/main" id="{0B2D818F-3241-B0DE-D0FD-D1DA3501558E}"/>
            </a:ext>
          </a:extLst>
        </xdr:cNvPr>
        <xdr:cNvSpPr/>
      </xdr:nvSpPr>
      <xdr:spPr>
        <a:xfrm>
          <a:off x="2746420" y="3172533"/>
          <a:ext cx="29337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2BFCF61-ADA0-4580-A253-CC92EBCD1B30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631923</xdr:colOff>
      <xdr:row>11</xdr:row>
      <xdr:rowOff>102060</xdr:rowOff>
    </xdr:from>
    <xdr:to>
      <xdr:col>2</xdr:col>
      <xdr:colOff>926613</xdr:colOff>
      <xdr:row>12</xdr:row>
      <xdr:rowOff>63650</xdr:rowOff>
    </xdr:to>
    <xdr:sp macro="" textlink="">
      <xdr:nvSpPr>
        <xdr:cNvPr id="787" name="Retângulo 786">
          <a:extLst>
            <a:ext uri="{FF2B5EF4-FFF2-40B4-BE49-F238E27FC236}">
              <a16:creationId xmlns:a16="http://schemas.microsoft.com/office/drawing/2014/main" id="{EB17EB45-FCDF-F7E2-55B1-296EABE346FC}"/>
            </a:ext>
          </a:extLst>
        </xdr:cNvPr>
        <xdr:cNvSpPr/>
      </xdr:nvSpPr>
      <xdr:spPr>
        <a:xfrm>
          <a:off x="1774923" y="3004384"/>
          <a:ext cx="29469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46</a:t>
          </a:r>
        </a:p>
      </xdr:txBody>
    </xdr:sp>
    <xdr:clientData/>
  </xdr:twoCellAnchor>
  <xdr:twoCellAnchor>
    <xdr:from>
      <xdr:col>2</xdr:col>
      <xdr:colOff>953890</xdr:colOff>
      <xdr:row>11</xdr:row>
      <xdr:rowOff>102054</xdr:rowOff>
    </xdr:from>
    <xdr:to>
      <xdr:col>3</xdr:col>
      <xdr:colOff>71962</xdr:colOff>
      <xdr:row>12</xdr:row>
      <xdr:rowOff>63644</xdr:rowOff>
    </xdr:to>
    <xdr:sp macro="" textlink="$AM$3">
      <xdr:nvSpPr>
        <xdr:cNvPr id="788" name="Retângulo 787">
          <a:extLst>
            <a:ext uri="{FF2B5EF4-FFF2-40B4-BE49-F238E27FC236}">
              <a16:creationId xmlns:a16="http://schemas.microsoft.com/office/drawing/2014/main" id="{BD0D4F4A-7AC9-C787-0D5E-AF87E3FA2433}"/>
            </a:ext>
          </a:extLst>
        </xdr:cNvPr>
        <xdr:cNvSpPr/>
      </xdr:nvSpPr>
      <xdr:spPr>
        <a:xfrm>
          <a:off x="2096890" y="3004378"/>
          <a:ext cx="29469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6796EBB-B8CD-45FC-9F74-A949B7B94883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102914</xdr:colOff>
      <xdr:row>11</xdr:row>
      <xdr:rowOff>102054</xdr:rowOff>
    </xdr:from>
    <xdr:to>
      <xdr:col>3</xdr:col>
      <xdr:colOff>392538</xdr:colOff>
      <xdr:row>12</xdr:row>
      <xdr:rowOff>63644</xdr:rowOff>
    </xdr:to>
    <xdr:sp macro="" textlink="$AM$2">
      <xdr:nvSpPr>
        <xdr:cNvPr id="789" name="Retângulo 788">
          <a:extLst>
            <a:ext uri="{FF2B5EF4-FFF2-40B4-BE49-F238E27FC236}">
              <a16:creationId xmlns:a16="http://schemas.microsoft.com/office/drawing/2014/main" id="{B583DAE2-04B9-5AAF-0A34-4EA924B8E514}"/>
            </a:ext>
          </a:extLst>
        </xdr:cNvPr>
        <xdr:cNvSpPr/>
      </xdr:nvSpPr>
      <xdr:spPr>
        <a:xfrm>
          <a:off x="2422532" y="3004378"/>
          <a:ext cx="28962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44E4F60-94DB-4A3F-B53E-1C71373CE1C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61,8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425537</xdr:colOff>
      <xdr:row>11</xdr:row>
      <xdr:rowOff>103715</xdr:rowOff>
    </xdr:from>
    <xdr:to>
      <xdr:col>3</xdr:col>
      <xdr:colOff>718915</xdr:colOff>
      <xdr:row>12</xdr:row>
      <xdr:rowOff>65305</xdr:rowOff>
    </xdr:to>
    <xdr:sp macro="" textlink="$AM$5">
      <xdr:nvSpPr>
        <xdr:cNvPr id="790" name="Retângulo 789">
          <a:extLst>
            <a:ext uri="{FF2B5EF4-FFF2-40B4-BE49-F238E27FC236}">
              <a16:creationId xmlns:a16="http://schemas.microsoft.com/office/drawing/2014/main" id="{DBCE0445-A4C1-3EC5-8A73-49C79F52065D}"/>
            </a:ext>
          </a:extLst>
        </xdr:cNvPr>
        <xdr:cNvSpPr/>
      </xdr:nvSpPr>
      <xdr:spPr>
        <a:xfrm>
          <a:off x="2745155" y="3006039"/>
          <a:ext cx="29337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6117525-3981-477A-A93E-7CCD5B34C884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633289</xdr:colOff>
      <xdr:row>10</xdr:row>
      <xdr:rowOff>126187</xdr:rowOff>
    </xdr:from>
    <xdr:to>
      <xdr:col>2</xdr:col>
      <xdr:colOff>927979</xdr:colOff>
      <xdr:row>11</xdr:row>
      <xdr:rowOff>87777</xdr:rowOff>
    </xdr:to>
    <xdr:sp macro="" textlink="">
      <xdr:nvSpPr>
        <xdr:cNvPr id="791" name="Retângulo 790">
          <a:extLst>
            <a:ext uri="{FF2B5EF4-FFF2-40B4-BE49-F238E27FC236}">
              <a16:creationId xmlns:a16="http://schemas.microsoft.com/office/drawing/2014/main" id="{9641FD75-1CA9-1375-D28C-2A2B653BBA3E}"/>
            </a:ext>
          </a:extLst>
        </xdr:cNvPr>
        <xdr:cNvSpPr/>
      </xdr:nvSpPr>
      <xdr:spPr>
        <a:xfrm>
          <a:off x="1776289" y="2838011"/>
          <a:ext cx="294690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45</a:t>
          </a:r>
        </a:p>
      </xdr:txBody>
    </xdr:sp>
    <xdr:clientData/>
  </xdr:twoCellAnchor>
  <xdr:twoCellAnchor>
    <xdr:from>
      <xdr:col>2</xdr:col>
      <xdr:colOff>955256</xdr:colOff>
      <xdr:row>10</xdr:row>
      <xdr:rowOff>126188</xdr:rowOff>
    </xdr:from>
    <xdr:to>
      <xdr:col>3</xdr:col>
      <xdr:colOff>73328</xdr:colOff>
      <xdr:row>11</xdr:row>
      <xdr:rowOff>87778</xdr:rowOff>
    </xdr:to>
    <xdr:sp macro="" textlink="$AL$3">
      <xdr:nvSpPr>
        <xdr:cNvPr id="792" name="Retângulo 791">
          <a:extLst>
            <a:ext uri="{FF2B5EF4-FFF2-40B4-BE49-F238E27FC236}">
              <a16:creationId xmlns:a16="http://schemas.microsoft.com/office/drawing/2014/main" id="{F2D34093-2786-ED44-6FA6-0A4EEC5DB32E}"/>
            </a:ext>
          </a:extLst>
        </xdr:cNvPr>
        <xdr:cNvSpPr/>
      </xdr:nvSpPr>
      <xdr:spPr>
        <a:xfrm>
          <a:off x="2098256" y="2838012"/>
          <a:ext cx="29469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ED26709-013E-4DE8-94D5-70A299F8558A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103070</xdr:colOff>
      <xdr:row>10</xdr:row>
      <xdr:rowOff>126188</xdr:rowOff>
    </xdr:from>
    <xdr:to>
      <xdr:col>3</xdr:col>
      <xdr:colOff>394465</xdr:colOff>
      <xdr:row>11</xdr:row>
      <xdr:rowOff>87778</xdr:rowOff>
    </xdr:to>
    <xdr:sp macro="" textlink="$AL$2">
      <xdr:nvSpPr>
        <xdr:cNvPr id="793" name="Retângulo 792">
          <a:extLst>
            <a:ext uri="{FF2B5EF4-FFF2-40B4-BE49-F238E27FC236}">
              <a16:creationId xmlns:a16="http://schemas.microsoft.com/office/drawing/2014/main" id="{2C075034-809F-47A8-E41B-D6A6DEFEFA20}"/>
            </a:ext>
          </a:extLst>
        </xdr:cNvPr>
        <xdr:cNvSpPr/>
      </xdr:nvSpPr>
      <xdr:spPr>
        <a:xfrm>
          <a:off x="2422688" y="2838012"/>
          <a:ext cx="291395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09BE4D2-83D4-4997-9243-8A3F16606CA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61,6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425695</xdr:colOff>
      <xdr:row>10</xdr:row>
      <xdr:rowOff>127170</xdr:rowOff>
    </xdr:from>
    <xdr:to>
      <xdr:col>3</xdr:col>
      <xdr:colOff>719073</xdr:colOff>
      <xdr:row>11</xdr:row>
      <xdr:rowOff>88760</xdr:rowOff>
    </xdr:to>
    <xdr:sp macro="" textlink="$AL$5">
      <xdr:nvSpPr>
        <xdr:cNvPr id="794" name="Retângulo 793">
          <a:extLst>
            <a:ext uri="{FF2B5EF4-FFF2-40B4-BE49-F238E27FC236}">
              <a16:creationId xmlns:a16="http://schemas.microsoft.com/office/drawing/2014/main" id="{567E163F-EBAE-73A9-4C51-4F7E175CB32E}"/>
            </a:ext>
          </a:extLst>
        </xdr:cNvPr>
        <xdr:cNvSpPr/>
      </xdr:nvSpPr>
      <xdr:spPr>
        <a:xfrm>
          <a:off x="2745313" y="2838994"/>
          <a:ext cx="29337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FFB8AC73-9A07-4DD6-B46C-5C496E37D5A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633287</xdr:colOff>
      <xdr:row>9</xdr:row>
      <xdr:rowOff>219177</xdr:rowOff>
    </xdr:from>
    <xdr:to>
      <xdr:col>2</xdr:col>
      <xdr:colOff>927977</xdr:colOff>
      <xdr:row>10</xdr:row>
      <xdr:rowOff>111913</xdr:rowOff>
    </xdr:to>
    <xdr:sp macro="" textlink="">
      <xdr:nvSpPr>
        <xdr:cNvPr id="795" name="Retângulo 794">
          <a:extLst>
            <a:ext uri="{FF2B5EF4-FFF2-40B4-BE49-F238E27FC236}">
              <a16:creationId xmlns:a16="http://schemas.microsoft.com/office/drawing/2014/main" id="{8E480E5D-2B82-4B8B-4441-744D258E5171}"/>
            </a:ext>
          </a:extLst>
        </xdr:cNvPr>
        <xdr:cNvSpPr/>
      </xdr:nvSpPr>
      <xdr:spPr>
        <a:xfrm>
          <a:off x="1776287" y="2673265"/>
          <a:ext cx="294690" cy="150472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44</a:t>
          </a:r>
        </a:p>
      </xdr:txBody>
    </xdr:sp>
    <xdr:clientData/>
  </xdr:twoCellAnchor>
  <xdr:twoCellAnchor>
    <xdr:from>
      <xdr:col>2</xdr:col>
      <xdr:colOff>955257</xdr:colOff>
      <xdr:row>9</xdr:row>
      <xdr:rowOff>219177</xdr:rowOff>
    </xdr:from>
    <xdr:to>
      <xdr:col>3</xdr:col>
      <xdr:colOff>73329</xdr:colOff>
      <xdr:row>10</xdr:row>
      <xdr:rowOff>111913</xdr:rowOff>
    </xdr:to>
    <xdr:sp macro="" textlink="$AK$3">
      <xdr:nvSpPr>
        <xdr:cNvPr id="796" name="Retângulo 795">
          <a:extLst>
            <a:ext uri="{FF2B5EF4-FFF2-40B4-BE49-F238E27FC236}">
              <a16:creationId xmlns:a16="http://schemas.microsoft.com/office/drawing/2014/main" id="{54F409CE-4259-4270-F788-D6C443FDD321}"/>
            </a:ext>
          </a:extLst>
        </xdr:cNvPr>
        <xdr:cNvSpPr/>
      </xdr:nvSpPr>
      <xdr:spPr>
        <a:xfrm>
          <a:off x="2098257" y="2673265"/>
          <a:ext cx="294690" cy="1504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E872E21-A636-4D94-B59D-22C1DFB90170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103072</xdr:colOff>
      <xdr:row>9</xdr:row>
      <xdr:rowOff>219173</xdr:rowOff>
    </xdr:from>
    <xdr:to>
      <xdr:col>3</xdr:col>
      <xdr:colOff>394467</xdr:colOff>
      <xdr:row>10</xdr:row>
      <xdr:rowOff>111909</xdr:rowOff>
    </xdr:to>
    <xdr:sp macro="" textlink="$AK$2">
      <xdr:nvSpPr>
        <xdr:cNvPr id="797" name="Retângulo 796">
          <a:extLst>
            <a:ext uri="{FF2B5EF4-FFF2-40B4-BE49-F238E27FC236}">
              <a16:creationId xmlns:a16="http://schemas.microsoft.com/office/drawing/2014/main" id="{75F7ADBC-9892-9F6A-8630-01085A801B16}"/>
            </a:ext>
          </a:extLst>
        </xdr:cNvPr>
        <xdr:cNvSpPr/>
      </xdr:nvSpPr>
      <xdr:spPr>
        <a:xfrm>
          <a:off x="2422690" y="2673261"/>
          <a:ext cx="291395" cy="1504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7CA9D33-7DBE-4E4B-A0E3-8DCA2B85858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61,5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425755</xdr:colOff>
      <xdr:row>9</xdr:row>
      <xdr:rowOff>219181</xdr:rowOff>
    </xdr:from>
    <xdr:to>
      <xdr:col>3</xdr:col>
      <xdr:colOff>722693</xdr:colOff>
      <xdr:row>10</xdr:row>
      <xdr:rowOff>111917</xdr:rowOff>
    </xdr:to>
    <xdr:sp macro="" textlink="$AK$5">
      <xdr:nvSpPr>
        <xdr:cNvPr id="798" name="Retângulo 797">
          <a:extLst>
            <a:ext uri="{FF2B5EF4-FFF2-40B4-BE49-F238E27FC236}">
              <a16:creationId xmlns:a16="http://schemas.microsoft.com/office/drawing/2014/main" id="{C48D633C-6FC8-F71E-75DC-F6E0007F663C}"/>
            </a:ext>
          </a:extLst>
        </xdr:cNvPr>
        <xdr:cNvSpPr/>
      </xdr:nvSpPr>
      <xdr:spPr>
        <a:xfrm>
          <a:off x="2745373" y="2673269"/>
          <a:ext cx="296938" cy="1504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C3F53AD-FAB8-45D5-80D2-3B6AF00F8E71}" type="TxLink">
            <a:rPr lang="en-US" sz="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pt-BR" sz="5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</xdr:col>
      <xdr:colOff>631198</xdr:colOff>
      <xdr:row>31</xdr:row>
      <xdr:rowOff>117416</xdr:rowOff>
    </xdr:from>
    <xdr:to>
      <xdr:col>2</xdr:col>
      <xdr:colOff>923473</xdr:colOff>
      <xdr:row>32</xdr:row>
      <xdr:rowOff>79006</xdr:rowOff>
    </xdr:to>
    <xdr:sp macro="" textlink="">
      <xdr:nvSpPr>
        <xdr:cNvPr id="799" name="Retângulo 798">
          <a:extLst>
            <a:ext uri="{FF2B5EF4-FFF2-40B4-BE49-F238E27FC236}">
              <a16:creationId xmlns:a16="http://schemas.microsoft.com/office/drawing/2014/main" id="{5E8479D7-AEEB-9776-D1DC-F681CCFE3C55}"/>
            </a:ext>
          </a:extLst>
        </xdr:cNvPr>
        <xdr:cNvSpPr/>
      </xdr:nvSpPr>
      <xdr:spPr>
        <a:xfrm>
          <a:off x="1774198" y="6829740"/>
          <a:ext cx="292275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69</a:t>
          </a:r>
        </a:p>
      </xdr:txBody>
    </xdr:sp>
    <xdr:clientData/>
  </xdr:twoCellAnchor>
  <xdr:twoCellAnchor>
    <xdr:from>
      <xdr:col>2</xdr:col>
      <xdr:colOff>954023</xdr:colOff>
      <xdr:row>31</xdr:row>
      <xdr:rowOff>118632</xdr:rowOff>
    </xdr:from>
    <xdr:to>
      <xdr:col>3</xdr:col>
      <xdr:colOff>69680</xdr:colOff>
      <xdr:row>32</xdr:row>
      <xdr:rowOff>80222</xdr:rowOff>
    </xdr:to>
    <xdr:sp macro="" textlink="$BJ$3">
      <xdr:nvSpPr>
        <xdr:cNvPr id="800" name="Retângulo 799">
          <a:extLst>
            <a:ext uri="{FF2B5EF4-FFF2-40B4-BE49-F238E27FC236}">
              <a16:creationId xmlns:a16="http://schemas.microsoft.com/office/drawing/2014/main" id="{001B01DF-8734-30CC-E1F9-C75AFC690535}"/>
            </a:ext>
          </a:extLst>
        </xdr:cNvPr>
        <xdr:cNvSpPr/>
      </xdr:nvSpPr>
      <xdr:spPr>
        <a:xfrm>
          <a:off x="2097023" y="6830956"/>
          <a:ext cx="292275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3FD3188-FFB3-4493-885C-0E491C7E0790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102694</xdr:colOff>
      <xdr:row>31</xdr:row>
      <xdr:rowOff>119579</xdr:rowOff>
    </xdr:from>
    <xdr:to>
      <xdr:col>3</xdr:col>
      <xdr:colOff>399822</xdr:colOff>
      <xdr:row>32</xdr:row>
      <xdr:rowOff>81169</xdr:rowOff>
    </xdr:to>
    <xdr:sp macro="" textlink="$BJ$2">
      <xdr:nvSpPr>
        <xdr:cNvPr id="801" name="Retângulo 800">
          <a:extLst>
            <a:ext uri="{FF2B5EF4-FFF2-40B4-BE49-F238E27FC236}">
              <a16:creationId xmlns:a16="http://schemas.microsoft.com/office/drawing/2014/main" id="{E5923CA7-2C31-3A8A-6C32-C841F0F1196A}"/>
            </a:ext>
          </a:extLst>
        </xdr:cNvPr>
        <xdr:cNvSpPr/>
      </xdr:nvSpPr>
      <xdr:spPr>
        <a:xfrm>
          <a:off x="2422312" y="6831903"/>
          <a:ext cx="2971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4BFB901-BA6E-4E21-ACAA-D81F2B4C00AD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63,8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633570</xdr:colOff>
      <xdr:row>32</xdr:row>
      <xdr:rowOff>93260</xdr:rowOff>
    </xdr:from>
    <xdr:to>
      <xdr:col>2</xdr:col>
      <xdr:colOff>925845</xdr:colOff>
      <xdr:row>33</xdr:row>
      <xdr:rowOff>54850</xdr:rowOff>
    </xdr:to>
    <xdr:sp macro="" textlink="">
      <xdr:nvSpPr>
        <xdr:cNvPr id="802" name="Retângulo 801">
          <a:extLst>
            <a:ext uri="{FF2B5EF4-FFF2-40B4-BE49-F238E27FC236}">
              <a16:creationId xmlns:a16="http://schemas.microsoft.com/office/drawing/2014/main" id="{DEEB39A6-8C62-A230-9389-D09BE70244F4}"/>
            </a:ext>
          </a:extLst>
        </xdr:cNvPr>
        <xdr:cNvSpPr/>
      </xdr:nvSpPr>
      <xdr:spPr>
        <a:xfrm>
          <a:off x="1776570" y="6996084"/>
          <a:ext cx="292275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70</a:t>
          </a:r>
        </a:p>
      </xdr:txBody>
    </xdr:sp>
    <xdr:clientData/>
  </xdr:twoCellAnchor>
  <xdr:twoCellAnchor>
    <xdr:from>
      <xdr:col>3</xdr:col>
      <xdr:colOff>426124</xdr:colOff>
      <xdr:row>31</xdr:row>
      <xdr:rowOff>122269</xdr:rowOff>
    </xdr:from>
    <xdr:to>
      <xdr:col>3</xdr:col>
      <xdr:colOff>717100</xdr:colOff>
      <xdr:row>32</xdr:row>
      <xdr:rowOff>83859</xdr:rowOff>
    </xdr:to>
    <xdr:sp macro="" textlink="$BJ$5">
      <xdr:nvSpPr>
        <xdr:cNvPr id="803" name="Retângulo 802">
          <a:extLst>
            <a:ext uri="{FF2B5EF4-FFF2-40B4-BE49-F238E27FC236}">
              <a16:creationId xmlns:a16="http://schemas.microsoft.com/office/drawing/2014/main" id="{F4F8E02A-7122-F32F-19BA-48A4506FEB50}"/>
            </a:ext>
          </a:extLst>
        </xdr:cNvPr>
        <xdr:cNvSpPr/>
      </xdr:nvSpPr>
      <xdr:spPr>
        <a:xfrm>
          <a:off x="2745742" y="6834593"/>
          <a:ext cx="290976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EAA0743-C617-4BA5-9AD1-E67B5E5104D9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428497</xdr:colOff>
      <xdr:row>32</xdr:row>
      <xdr:rowOff>98103</xdr:rowOff>
    </xdr:from>
    <xdr:to>
      <xdr:col>3</xdr:col>
      <xdr:colOff>719473</xdr:colOff>
      <xdr:row>33</xdr:row>
      <xdr:rowOff>59693</xdr:rowOff>
    </xdr:to>
    <xdr:sp macro="" textlink="$BK$5">
      <xdr:nvSpPr>
        <xdr:cNvPr id="804" name="Retângulo 803">
          <a:extLst>
            <a:ext uri="{FF2B5EF4-FFF2-40B4-BE49-F238E27FC236}">
              <a16:creationId xmlns:a16="http://schemas.microsoft.com/office/drawing/2014/main" id="{5F0DB8B7-1C95-EB7C-FD90-E6A6782A465E}"/>
            </a:ext>
          </a:extLst>
        </xdr:cNvPr>
        <xdr:cNvSpPr/>
      </xdr:nvSpPr>
      <xdr:spPr>
        <a:xfrm>
          <a:off x="2748115" y="7000927"/>
          <a:ext cx="290976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3784979-0E09-4479-A740-3905E479B185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955029</xdr:colOff>
      <xdr:row>32</xdr:row>
      <xdr:rowOff>94179</xdr:rowOff>
    </xdr:from>
    <xdr:to>
      <xdr:col>3</xdr:col>
      <xdr:colOff>70686</xdr:colOff>
      <xdr:row>33</xdr:row>
      <xdr:rowOff>55769</xdr:rowOff>
    </xdr:to>
    <xdr:sp macro="" textlink="$BK$3">
      <xdr:nvSpPr>
        <xdr:cNvPr id="805" name="Retângulo 804">
          <a:extLst>
            <a:ext uri="{FF2B5EF4-FFF2-40B4-BE49-F238E27FC236}">
              <a16:creationId xmlns:a16="http://schemas.microsoft.com/office/drawing/2014/main" id="{2B82ADE8-214A-CAD6-51FE-81BFDC70B984}"/>
            </a:ext>
          </a:extLst>
        </xdr:cNvPr>
        <xdr:cNvSpPr/>
      </xdr:nvSpPr>
      <xdr:spPr>
        <a:xfrm>
          <a:off x="2098029" y="6997003"/>
          <a:ext cx="292275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B320EA9-9750-4FBC-8749-3062B4B610B9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103891</xdr:colOff>
      <xdr:row>32</xdr:row>
      <xdr:rowOff>95760</xdr:rowOff>
    </xdr:from>
    <xdr:to>
      <xdr:col>3</xdr:col>
      <xdr:colOff>399654</xdr:colOff>
      <xdr:row>33</xdr:row>
      <xdr:rowOff>57350</xdr:rowOff>
    </xdr:to>
    <xdr:sp macro="" textlink="$BK$2">
      <xdr:nvSpPr>
        <xdr:cNvPr id="806" name="Retângulo 805">
          <a:extLst>
            <a:ext uri="{FF2B5EF4-FFF2-40B4-BE49-F238E27FC236}">
              <a16:creationId xmlns:a16="http://schemas.microsoft.com/office/drawing/2014/main" id="{79AD6760-DC8A-418F-8D10-658FA60EA0A7}"/>
            </a:ext>
          </a:extLst>
        </xdr:cNvPr>
        <xdr:cNvSpPr/>
      </xdr:nvSpPr>
      <xdr:spPr>
        <a:xfrm>
          <a:off x="2423509" y="6998584"/>
          <a:ext cx="295763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E0BE906-FABF-4F61-A7DF-ED61AD6B33CD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63,8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633657</xdr:colOff>
      <xdr:row>33</xdr:row>
      <xdr:rowOff>69546</xdr:rowOff>
    </xdr:from>
    <xdr:to>
      <xdr:col>2</xdr:col>
      <xdr:colOff>924933</xdr:colOff>
      <xdr:row>34</xdr:row>
      <xdr:rowOff>31136</xdr:rowOff>
    </xdr:to>
    <xdr:sp macro="" textlink="">
      <xdr:nvSpPr>
        <xdr:cNvPr id="807" name="Retângulo 806">
          <a:extLst>
            <a:ext uri="{FF2B5EF4-FFF2-40B4-BE49-F238E27FC236}">
              <a16:creationId xmlns:a16="http://schemas.microsoft.com/office/drawing/2014/main" id="{8EE186C0-444F-F836-F322-2D2ACB23BBFA}"/>
            </a:ext>
          </a:extLst>
        </xdr:cNvPr>
        <xdr:cNvSpPr/>
      </xdr:nvSpPr>
      <xdr:spPr>
        <a:xfrm>
          <a:off x="1776657" y="7162870"/>
          <a:ext cx="291276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71</a:t>
          </a:r>
        </a:p>
      </xdr:txBody>
    </xdr:sp>
    <xdr:clientData/>
  </xdr:twoCellAnchor>
  <xdr:twoCellAnchor>
    <xdr:from>
      <xdr:col>2</xdr:col>
      <xdr:colOff>955162</xdr:colOff>
      <xdr:row>33</xdr:row>
      <xdr:rowOff>70746</xdr:rowOff>
    </xdr:from>
    <xdr:to>
      <xdr:col>3</xdr:col>
      <xdr:colOff>69820</xdr:colOff>
      <xdr:row>34</xdr:row>
      <xdr:rowOff>32336</xdr:rowOff>
    </xdr:to>
    <xdr:sp macro="" textlink="$BL$3">
      <xdr:nvSpPr>
        <xdr:cNvPr id="808" name="Retângulo 807">
          <a:extLst>
            <a:ext uri="{FF2B5EF4-FFF2-40B4-BE49-F238E27FC236}">
              <a16:creationId xmlns:a16="http://schemas.microsoft.com/office/drawing/2014/main" id="{15360297-1450-946A-AF6F-EA4E9DE8718E}"/>
            </a:ext>
          </a:extLst>
        </xdr:cNvPr>
        <xdr:cNvSpPr/>
      </xdr:nvSpPr>
      <xdr:spPr>
        <a:xfrm>
          <a:off x="2098162" y="7164070"/>
          <a:ext cx="291276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7846D8A-F903-44B4-9169-957ADCD6DCCE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102704</xdr:colOff>
      <xdr:row>33</xdr:row>
      <xdr:rowOff>72968</xdr:rowOff>
    </xdr:from>
    <xdr:to>
      <xdr:col>3</xdr:col>
      <xdr:colOff>399654</xdr:colOff>
      <xdr:row>34</xdr:row>
      <xdr:rowOff>34558</xdr:rowOff>
    </xdr:to>
    <xdr:sp macro="" textlink="$BL$2">
      <xdr:nvSpPr>
        <xdr:cNvPr id="809" name="Retângulo 808">
          <a:extLst>
            <a:ext uri="{FF2B5EF4-FFF2-40B4-BE49-F238E27FC236}">
              <a16:creationId xmlns:a16="http://schemas.microsoft.com/office/drawing/2014/main" id="{A83AB686-2E7F-C69A-5469-7D652592D060}"/>
            </a:ext>
          </a:extLst>
        </xdr:cNvPr>
        <xdr:cNvSpPr/>
      </xdr:nvSpPr>
      <xdr:spPr>
        <a:xfrm>
          <a:off x="2422322" y="7166292"/>
          <a:ext cx="296950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65A9CCB-B136-48AD-ACE1-9CB2F42E4AA3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63,9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429613</xdr:colOff>
      <xdr:row>33</xdr:row>
      <xdr:rowOff>75703</xdr:rowOff>
    </xdr:from>
    <xdr:to>
      <xdr:col>3</xdr:col>
      <xdr:colOff>722486</xdr:colOff>
      <xdr:row>34</xdr:row>
      <xdr:rowOff>37293</xdr:rowOff>
    </xdr:to>
    <xdr:sp macro="" textlink="$BL$5">
      <xdr:nvSpPr>
        <xdr:cNvPr id="810" name="Retângulo 809">
          <a:extLst>
            <a:ext uri="{FF2B5EF4-FFF2-40B4-BE49-F238E27FC236}">
              <a16:creationId xmlns:a16="http://schemas.microsoft.com/office/drawing/2014/main" id="{B5E3369C-4509-BD47-0D32-71A6666CC22B}"/>
            </a:ext>
          </a:extLst>
        </xdr:cNvPr>
        <xdr:cNvSpPr/>
      </xdr:nvSpPr>
      <xdr:spPr>
        <a:xfrm>
          <a:off x="2749231" y="7169027"/>
          <a:ext cx="292873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6488838-BE63-4772-B7AF-FE7ACF169976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633573</xdr:colOff>
      <xdr:row>34</xdr:row>
      <xdr:rowOff>45726</xdr:rowOff>
    </xdr:from>
    <xdr:to>
      <xdr:col>2</xdr:col>
      <xdr:colOff>924849</xdr:colOff>
      <xdr:row>35</xdr:row>
      <xdr:rowOff>7316</xdr:rowOff>
    </xdr:to>
    <xdr:sp macro="" textlink="">
      <xdr:nvSpPr>
        <xdr:cNvPr id="811" name="Retângulo 810">
          <a:extLst>
            <a:ext uri="{FF2B5EF4-FFF2-40B4-BE49-F238E27FC236}">
              <a16:creationId xmlns:a16="http://schemas.microsoft.com/office/drawing/2014/main" id="{CDF8149C-38EC-09BF-763E-B339FE81AEFE}"/>
            </a:ext>
          </a:extLst>
        </xdr:cNvPr>
        <xdr:cNvSpPr/>
      </xdr:nvSpPr>
      <xdr:spPr>
        <a:xfrm>
          <a:off x="1776573" y="7329550"/>
          <a:ext cx="291276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72</a:t>
          </a:r>
        </a:p>
      </xdr:txBody>
    </xdr:sp>
    <xdr:clientData/>
  </xdr:twoCellAnchor>
  <xdr:twoCellAnchor>
    <xdr:from>
      <xdr:col>2</xdr:col>
      <xdr:colOff>955265</xdr:colOff>
      <xdr:row>34</xdr:row>
      <xdr:rowOff>46928</xdr:rowOff>
    </xdr:from>
    <xdr:to>
      <xdr:col>3</xdr:col>
      <xdr:colOff>69923</xdr:colOff>
      <xdr:row>35</xdr:row>
      <xdr:rowOff>8518</xdr:rowOff>
    </xdr:to>
    <xdr:sp macro="" textlink="$BM$3">
      <xdr:nvSpPr>
        <xdr:cNvPr id="812" name="Retângulo 811">
          <a:extLst>
            <a:ext uri="{FF2B5EF4-FFF2-40B4-BE49-F238E27FC236}">
              <a16:creationId xmlns:a16="http://schemas.microsoft.com/office/drawing/2014/main" id="{63A807E5-B7B9-A058-8496-2052BCFC7477}"/>
            </a:ext>
          </a:extLst>
        </xdr:cNvPr>
        <xdr:cNvSpPr/>
      </xdr:nvSpPr>
      <xdr:spPr>
        <a:xfrm>
          <a:off x="2098265" y="7330752"/>
          <a:ext cx="291276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88B8CC0-5803-4079-9FE1-152DF629D514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102808</xdr:colOff>
      <xdr:row>34</xdr:row>
      <xdr:rowOff>49156</xdr:rowOff>
    </xdr:from>
    <xdr:to>
      <xdr:col>3</xdr:col>
      <xdr:colOff>399653</xdr:colOff>
      <xdr:row>35</xdr:row>
      <xdr:rowOff>10746</xdr:rowOff>
    </xdr:to>
    <xdr:sp macro="" textlink="$BM$2">
      <xdr:nvSpPr>
        <xdr:cNvPr id="813" name="Retângulo 812">
          <a:extLst>
            <a:ext uri="{FF2B5EF4-FFF2-40B4-BE49-F238E27FC236}">
              <a16:creationId xmlns:a16="http://schemas.microsoft.com/office/drawing/2014/main" id="{A40E1DAA-BFB3-BDB1-D354-4B6DB2C9DF7E}"/>
            </a:ext>
          </a:extLst>
        </xdr:cNvPr>
        <xdr:cNvSpPr/>
      </xdr:nvSpPr>
      <xdr:spPr>
        <a:xfrm>
          <a:off x="2422426" y="7332980"/>
          <a:ext cx="296845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8556E54-A936-4128-9AC2-6AC088F12197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63,9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429628</xdr:colOff>
      <xdr:row>34</xdr:row>
      <xdr:rowOff>50711</xdr:rowOff>
    </xdr:from>
    <xdr:to>
      <xdr:col>3</xdr:col>
      <xdr:colOff>720115</xdr:colOff>
      <xdr:row>35</xdr:row>
      <xdr:rowOff>12301</xdr:rowOff>
    </xdr:to>
    <xdr:sp macro="" textlink="$BM$5">
      <xdr:nvSpPr>
        <xdr:cNvPr id="814" name="Retângulo 813">
          <a:extLst>
            <a:ext uri="{FF2B5EF4-FFF2-40B4-BE49-F238E27FC236}">
              <a16:creationId xmlns:a16="http://schemas.microsoft.com/office/drawing/2014/main" id="{A0B363D4-6CD7-83C6-E339-CDBF04E58517}"/>
            </a:ext>
          </a:extLst>
        </xdr:cNvPr>
        <xdr:cNvSpPr/>
      </xdr:nvSpPr>
      <xdr:spPr>
        <a:xfrm>
          <a:off x="2749246" y="7334535"/>
          <a:ext cx="29048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DE118A5-7B94-4CF0-86CD-40A56DE924A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1014690</xdr:colOff>
      <xdr:row>9</xdr:row>
      <xdr:rowOff>66825</xdr:rowOff>
    </xdr:from>
    <xdr:to>
      <xdr:col>5</xdr:col>
      <xdr:colOff>4254</xdr:colOff>
      <xdr:row>9</xdr:row>
      <xdr:rowOff>198844</xdr:rowOff>
    </xdr:to>
    <xdr:grpSp>
      <xdr:nvGrpSpPr>
        <xdr:cNvPr id="820" name="Agrupar 819">
          <a:extLst>
            <a:ext uri="{FF2B5EF4-FFF2-40B4-BE49-F238E27FC236}">
              <a16:creationId xmlns:a16="http://schemas.microsoft.com/office/drawing/2014/main" id="{DAB8D5EB-A3BB-941A-34CF-93261DF2C3F6}"/>
            </a:ext>
          </a:extLst>
        </xdr:cNvPr>
        <xdr:cNvGrpSpPr/>
      </xdr:nvGrpSpPr>
      <xdr:grpSpPr>
        <a:xfrm>
          <a:off x="3334308" y="2565737"/>
          <a:ext cx="1275564" cy="132019"/>
          <a:chOff x="3288551" y="2664555"/>
          <a:chExt cx="1275318" cy="103386"/>
        </a:xfrm>
      </xdr:grpSpPr>
      <xdr:sp macro="" textlink="">
        <xdr:nvSpPr>
          <xdr:cNvPr id="937" name="Retângulo 936">
            <a:extLst>
              <a:ext uri="{FF2B5EF4-FFF2-40B4-BE49-F238E27FC236}">
                <a16:creationId xmlns:a16="http://schemas.microsoft.com/office/drawing/2014/main" id="{AF354355-DC51-1885-0C93-3CD57BA4F905}"/>
              </a:ext>
            </a:extLst>
          </xdr:cNvPr>
          <xdr:cNvSpPr/>
        </xdr:nvSpPr>
        <xdr:spPr>
          <a:xfrm>
            <a:off x="4204213" y="2664555"/>
            <a:ext cx="359656" cy="102463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600" b="1" i="1"/>
              <a:t>Tipo</a:t>
            </a:r>
            <a:endParaRPr lang="pt-BR" sz="600" b="1"/>
          </a:p>
        </xdr:txBody>
      </xdr:sp>
      <xdr:sp macro="" textlink="">
        <xdr:nvSpPr>
          <xdr:cNvPr id="938" name="Retângulo 937">
            <a:extLst>
              <a:ext uri="{FF2B5EF4-FFF2-40B4-BE49-F238E27FC236}">
                <a16:creationId xmlns:a16="http://schemas.microsoft.com/office/drawing/2014/main" id="{417175E9-11DA-7876-8825-DA067830A8EC}"/>
              </a:ext>
            </a:extLst>
          </xdr:cNvPr>
          <xdr:cNvSpPr/>
        </xdr:nvSpPr>
        <xdr:spPr>
          <a:xfrm>
            <a:off x="3831941" y="2664557"/>
            <a:ext cx="416917" cy="103384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600" b="1" i="1"/>
              <a:t>Std</a:t>
            </a:r>
            <a:r>
              <a:rPr lang="pt-BR" sz="600" b="1"/>
              <a:t>.</a:t>
            </a:r>
          </a:p>
        </xdr:txBody>
      </xdr:sp>
      <xdr:sp macro="" textlink="">
        <xdr:nvSpPr>
          <xdr:cNvPr id="939" name="Retângulo 938">
            <a:extLst>
              <a:ext uri="{FF2B5EF4-FFF2-40B4-BE49-F238E27FC236}">
                <a16:creationId xmlns:a16="http://schemas.microsoft.com/office/drawing/2014/main" id="{12ADF569-F2A8-979F-4E95-580C92295217}"/>
              </a:ext>
            </a:extLst>
          </xdr:cNvPr>
          <xdr:cNvSpPr/>
        </xdr:nvSpPr>
        <xdr:spPr>
          <a:xfrm>
            <a:off x="3288551" y="2665013"/>
            <a:ext cx="391157" cy="101642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800" b="1" i="1"/>
              <a:t>SEM</a:t>
            </a:r>
          </a:p>
        </xdr:txBody>
      </xdr:sp>
      <xdr:sp macro="" textlink="">
        <xdr:nvSpPr>
          <xdr:cNvPr id="940" name="Retângulo 939">
            <a:extLst>
              <a:ext uri="{FF2B5EF4-FFF2-40B4-BE49-F238E27FC236}">
                <a16:creationId xmlns:a16="http://schemas.microsoft.com/office/drawing/2014/main" id="{B2F35A0C-36AD-2334-BC61-F7C5B1D79ABF}"/>
              </a:ext>
            </a:extLst>
          </xdr:cNvPr>
          <xdr:cNvSpPr/>
        </xdr:nvSpPr>
        <xdr:spPr>
          <a:xfrm>
            <a:off x="3590248" y="2665014"/>
            <a:ext cx="329691" cy="101642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600" b="1" i="1"/>
              <a:t>Real</a:t>
            </a:r>
            <a:r>
              <a:rPr lang="pt-BR" sz="500" b="1"/>
              <a:t>           </a:t>
            </a:r>
          </a:p>
        </xdr:txBody>
      </xdr:sp>
    </xdr:grpSp>
    <xdr:clientData/>
  </xdr:twoCellAnchor>
  <xdr:twoCellAnchor>
    <xdr:from>
      <xdr:col>3</xdr:col>
      <xdr:colOff>1016618</xdr:colOff>
      <xdr:row>26</xdr:row>
      <xdr:rowOff>70598</xdr:rowOff>
    </xdr:from>
    <xdr:to>
      <xdr:col>4</xdr:col>
      <xdr:colOff>134518</xdr:colOff>
      <xdr:row>27</xdr:row>
      <xdr:rowOff>32188</xdr:rowOff>
    </xdr:to>
    <xdr:sp macro="" textlink="">
      <xdr:nvSpPr>
        <xdr:cNvPr id="821" name="Retângulo 820">
          <a:extLst>
            <a:ext uri="{FF2B5EF4-FFF2-40B4-BE49-F238E27FC236}">
              <a16:creationId xmlns:a16="http://schemas.microsoft.com/office/drawing/2014/main" id="{21AE6734-95D9-DBF2-216E-22D10543C908}"/>
            </a:ext>
          </a:extLst>
        </xdr:cNvPr>
        <xdr:cNvSpPr/>
      </xdr:nvSpPr>
      <xdr:spPr>
        <a:xfrm>
          <a:off x="3336236" y="5830422"/>
          <a:ext cx="294517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92</a:t>
          </a:r>
        </a:p>
      </xdr:txBody>
    </xdr:sp>
    <xdr:clientData/>
  </xdr:twoCellAnchor>
  <xdr:twoCellAnchor>
    <xdr:from>
      <xdr:col>4</xdr:col>
      <xdr:colOff>165324</xdr:colOff>
      <xdr:row>26</xdr:row>
      <xdr:rowOff>67040</xdr:rowOff>
    </xdr:from>
    <xdr:to>
      <xdr:col>4</xdr:col>
      <xdr:colOff>459841</xdr:colOff>
      <xdr:row>27</xdr:row>
      <xdr:rowOff>28630</xdr:rowOff>
    </xdr:to>
    <xdr:sp macro="" textlink="$CG$3">
      <xdr:nvSpPr>
        <xdr:cNvPr id="822" name="Retângulo 821">
          <a:extLst>
            <a:ext uri="{FF2B5EF4-FFF2-40B4-BE49-F238E27FC236}">
              <a16:creationId xmlns:a16="http://schemas.microsoft.com/office/drawing/2014/main" id="{05D40717-4677-F564-1378-8243AE130E16}"/>
            </a:ext>
          </a:extLst>
        </xdr:cNvPr>
        <xdr:cNvSpPr/>
      </xdr:nvSpPr>
      <xdr:spPr>
        <a:xfrm>
          <a:off x="3661559" y="5826864"/>
          <a:ext cx="2945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37EE1DA-D30E-48C4-8865-DD824D28DFA6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490737</xdr:colOff>
      <xdr:row>26</xdr:row>
      <xdr:rowOff>72009</xdr:rowOff>
    </xdr:from>
    <xdr:to>
      <xdr:col>4</xdr:col>
      <xdr:colOff>786426</xdr:colOff>
      <xdr:row>27</xdr:row>
      <xdr:rowOff>33599</xdr:rowOff>
    </xdr:to>
    <xdr:sp macro="" textlink="$CG$2">
      <xdr:nvSpPr>
        <xdr:cNvPr id="823" name="Retângulo 822">
          <a:extLst>
            <a:ext uri="{FF2B5EF4-FFF2-40B4-BE49-F238E27FC236}">
              <a16:creationId xmlns:a16="http://schemas.microsoft.com/office/drawing/2014/main" id="{4164BEF3-79A1-FB5A-8420-233B7EB5652F}"/>
            </a:ext>
          </a:extLst>
        </xdr:cNvPr>
        <xdr:cNvSpPr/>
      </xdr:nvSpPr>
      <xdr:spPr>
        <a:xfrm>
          <a:off x="3986972" y="5831833"/>
          <a:ext cx="29568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D57F457-73F9-4D5B-B97E-87164DE828F6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1016618</xdr:colOff>
      <xdr:row>27</xdr:row>
      <xdr:rowOff>46431</xdr:rowOff>
    </xdr:from>
    <xdr:to>
      <xdr:col>4</xdr:col>
      <xdr:colOff>134518</xdr:colOff>
      <xdr:row>28</xdr:row>
      <xdr:rowOff>8021</xdr:rowOff>
    </xdr:to>
    <xdr:sp macro="" textlink="">
      <xdr:nvSpPr>
        <xdr:cNvPr id="824" name="Retângulo 823">
          <a:extLst>
            <a:ext uri="{FF2B5EF4-FFF2-40B4-BE49-F238E27FC236}">
              <a16:creationId xmlns:a16="http://schemas.microsoft.com/office/drawing/2014/main" id="{B5B63629-179E-2510-09AC-286DF121FC80}"/>
            </a:ext>
          </a:extLst>
        </xdr:cNvPr>
        <xdr:cNvSpPr/>
      </xdr:nvSpPr>
      <xdr:spPr>
        <a:xfrm>
          <a:off x="3336236" y="5996755"/>
          <a:ext cx="294517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93</a:t>
          </a:r>
        </a:p>
      </xdr:txBody>
    </xdr:sp>
    <xdr:clientData/>
  </xdr:twoCellAnchor>
  <xdr:twoCellAnchor>
    <xdr:from>
      <xdr:col>4</xdr:col>
      <xdr:colOff>165324</xdr:colOff>
      <xdr:row>27</xdr:row>
      <xdr:rowOff>42876</xdr:rowOff>
    </xdr:from>
    <xdr:to>
      <xdr:col>4</xdr:col>
      <xdr:colOff>459841</xdr:colOff>
      <xdr:row>28</xdr:row>
      <xdr:rowOff>4466</xdr:rowOff>
    </xdr:to>
    <xdr:sp macro="" textlink="$CH$3">
      <xdr:nvSpPr>
        <xdr:cNvPr id="825" name="Retângulo 824">
          <a:extLst>
            <a:ext uri="{FF2B5EF4-FFF2-40B4-BE49-F238E27FC236}">
              <a16:creationId xmlns:a16="http://schemas.microsoft.com/office/drawing/2014/main" id="{FA3D9E2B-8B8C-A444-F6FE-A7BEAF85E9CA}"/>
            </a:ext>
          </a:extLst>
        </xdr:cNvPr>
        <xdr:cNvSpPr/>
      </xdr:nvSpPr>
      <xdr:spPr>
        <a:xfrm>
          <a:off x="3661559" y="5993200"/>
          <a:ext cx="2945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3392008-26DF-4924-A32D-34C596ACE989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490737</xdr:colOff>
      <xdr:row>27</xdr:row>
      <xdr:rowOff>46642</xdr:rowOff>
    </xdr:from>
    <xdr:to>
      <xdr:col>4</xdr:col>
      <xdr:colOff>786426</xdr:colOff>
      <xdr:row>28</xdr:row>
      <xdr:rowOff>8232</xdr:rowOff>
    </xdr:to>
    <xdr:sp macro="" textlink="$CH$2">
      <xdr:nvSpPr>
        <xdr:cNvPr id="826" name="Retângulo 825">
          <a:extLst>
            <a:ext uri="{FF2B5EF4-FFF2-40B4-BE49-F238E27FC236}">
              <a16:creationId xmlns:a16="http://schemas.microsoft.com/office/drawing/2014/main" id="{53F0038D-24DD-68FB-6170-9B80DD9E4784}"/>
            </a:ext>
          </a:extLst>
        </xdr:cNvPr>
        <xdr:cNvSpPr/>
      </xdr:nvSpPr>
      <xdr:spPr>
        <a:xfrm>
          <a:off x="3986972" y="5996966"/>
          <a:ext cx="29568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03FEFBC-A3BD-43F8-B357-795A78CBE5B2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1016618</xdr:colOff>
      <xdr:row>28</xdr:row>
      <xdr:rowOff>20423</xdr:rowOff>
    </xdr:from>
    <xdr:to>
      <xdr:col>4</xdr:col>
      <xdr:colOff>134518</xdr:colOff>
      <xdr:row>28</xdr:row>
      <xdr:rowOff>172513</xdr:rowOff>
    </xdr:to>
    <xdr:sp macro="" textlink="">
      <xdr:nvSpPr>
        <xdr:cNvPr id="827" name="Retângulo 826">
          <a:extLst>
            <a:ext uri="{FF2B5EF4-FFF2-40B4-BE49-F238E27FC236}">
              <a16:creationId xmlns:a16="http://schemas.microsoft.com/office/drawing/2014/main" id="{49B9E62D-32BF-1513-5BFB-E1D90FD89E90}"/>
            </a:ext>
          </a:extLst>
        </xdr:cNvPr>
        <xdr:cNvSpPr/>
      </xdr:nvSpPr>
      <xdr:spPr>
        <a:xfrm>
          <a:off x="3336236" y="6161247"/>
          <a:ext cx="294517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94</a:t>
          </a:r>
        </a:p>
      </xdr:txBody>
    </xdr:sp>
    <xdr:clientData/>
  </xdr:twoCellAnchor>
  <xdr:twoCellAnchor>
    <xdr:from>
      <xdr:col>4</xdr:col>
      <xdr:colOff>165324</xdr:colOff>
      <xdr:row>28</xdr:row>
      <xdr:rowOff>19253</xdr:rowOff>
    </xdr:from>
    <xdr:to>
      <xdr:col>4</xdr:col>
      <xdr:colOff>459841</xdr:colOff>
      <xdr:row>28</xdr:row>
      <xdr:rowOff>171343</xdr:rowOff>
    </xdr:to>
    <xdr:sp macro="" textlink="$CI$3">
      <xdr:nvSpPr>
        <xdr:cNvPr id="828" name="Retângulo 827">
          <a:extLst>
            <a:ext uri="{FF2B5EF4-FFF2-40B4-BE49-F238E27FC236}">
              <a16:creationId xmlns:a16="http://schemas.microsoft.com/office/drawing/2014/main" id="{D4CB7AE7-DCD6-3570-D7AD-D3FE3FE57380}"/>
            </a:ext>
          </a:extLst>
        </xdr:cNvPr>
        <xdr:cNvSpPr/>
      </xdr:nvSpPr>
      <xdr:spPr>
        <a:xfrm>
          <a:off x="3661559" y="6160077"/>
          <a:ext cx="2945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7A8BA38-1049-4067-A122-7F6C1E6AC328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490737</xdr:colOff>
      <xdr:row>28</xdr:row>
      <xdr:rowOff>24852</xdr:rowOff>
    </xdr:from>
    <xdr:to>
      <xdr:col>4</xdr:col>
      <xdr:colOff>786426</xdr:colOff>
      <xdr:row>28</xdr:row>
      <xdr:rowOff>176942</xdr:rowOff>
    </xdr:to>
    <xdr:sp macro="" textlink="$CI$2">
      <xdr:nvSpPr>
        <xdr:cNvPr id="829" name="Retângulo 828">
          <a:extLst>
            <a:ext uri="{FF2B5EF4-FFF2-40B4-BE49-F238E27FC236}">
              <a16:creationId xmlns:a16="http://schemas.microsoft.com/office/drawing/2014/main" id="{43853ECC-DCC1-1A88-3965-361E84447B75}"/>
            </a:ext>
          </a:extLst>
        </xdr:cNvPr>
        <xdr:cNvSpPr/>
      </xdr:nvSpPr>
      <xdr:spPr>
        <a:xfrm>
          <a:off x="3986972" y="6165676"/>
          <a:ext cx="29568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3B9B916-012D-48AB-BBDD-E953EEFA8BDA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1016618</xdr:colOff>
      <xdr:row>28</xdr:row>
      <xdr:rowOff>189146</xdr:rowOff>
    </xdr:from>
    <xdr:to>
      <xdr:col>4</xdr:col>
      <xdr:colOff>134518</xdr:colOff>
      <xdr:row>29</xdr:row>
      <xdr:rowOff>150736</xdr:rowOff>
    </xdr:to>
    <xdr:sp macro="" textlink="">
      <xdr:nvSpPr>
        <xdr:cNvPr id="830" name="Retângulo 829">
          <a:extLst>
            <a:ext uri="{FF2B5EF4-FFF2-40B4-BE49-F238E27FC236}">
              <a16:creationId xmlns:a16="http://schemas.microsoft.com/office/drawing/2014/main" id="{A0619E37-DC29-B1B5-C889-2E288F123163}"/>
            </a:ext>
          </a:extLst>
        </xdr:cNvPr>
        <xdr:cNvSpPr/>
      </xdr:nvSpPr>
      <xdr:spPr>
        <a:xfrm>
          <a:off x="3336236" y="6329970"/>
          <a:ext cx="294517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95</a:t>
          </a:r>
        </a:p>
      </xdr:txBody>
    </xdr:sp>
    <xdr:clientData/>
  </xdr:twoCellAnchor>
  <xdr:twoCellAnchor>
    <xdr:from>
      <xdr:col>4</xdr:col>
      <xdr:colOff>165324</xdr:colOff>
      <xdr:row>28</xdr:row>
      <xdr:rowOff>185587</xdr:rowOff>
    </xdr:from>
    <xdr:to>
      <xdr:col>4</xdr:col>
      <xdr:colOff>459841</xdr:colOff>
      <xdr:row>29</xdr:row>
      <xdr:rowOff>147177</xdr:rowOff>
    </xdr:to>
    <xdr:sp macro="" textlink="$CJ$3">
      <xdr:nvSpPr>
        <xdr:cNvPr id="831" name="Retângulo 830">
          <a:extLst>
            <a:ext uri="{FF2B5EF4-FFF2-40B4-BE49-F238E27FC236}">
              <a16:creationId xmlns:a16="http://schemas.microsoft.com/office/drawing/2014/main" id="{394E96F2-549D-808C-E775-69402EE6162F}"/>
            </a:ext>
          </a:extLst>
        </xdr:cNvPr>
        <xdr:cNvSpPr/>
      </xdr:nvSpPr>
      <xdr:spPr>
        <a:xfrm>
          <a:off x="3661559" y="6326411"/>
          <a:ext cx="2945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F7F5F32-78E5-444B-B0C9-19CA9B0FA881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490737</xdr:colOff>
      <xdr:row>28</xdr:row>
      <xdr:rowOff>189987</xdr:rowOff>
    </xdr:from>
    <xdr:to>
      <xdr:col>4</xdr:col>
      <xdr:colOff>786426</xdr:colOff>
      <xdr:row>29</xdr:row>
      <xdr:rowOff>151577</xdr:rowOff>
    </xdr:to>
    <xdr:sp macro="" textlink="$CJ$2">
      <xdr:nvSpPr>
        <xdr:cNvPr id="832" name="Retângulo 831">
          <a:extLst>
            <a:ext uri="{FF2B5EF4-FFF2-40B4-BE49-F238E27FC236}">
              <a16:creationId xmlns:a16="http://schemas.microsoft.com/office/drawing/2014/main" id="{15D5A03F-3608-6C29-9C55-B5C181855EA3}"/>
            </a:ext>
          </a:extLst>
        </xdr:cNvPr>
        <xdr:cNvSpPr/>
      </xdr:nvSpPr>
      <xdr:spPr>
        <a:xfrm>
          <a:off x="3986972" y="6330811"/>
          <a:ext cx="29568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527B0FC-C620-4A74-BF26-A4EC4D9FAD5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1016618</xdr:colOff>
      <xdr:row>29</xdr:row>
      <xdr:rowOff>163133</xdr:rowOff>
    </xdr:from>
    <xdr:to>
      <xdr:col>4</xdr:col>
      <xdr:colOff>134518</xdr:colOff>
      <xdr:row>30</xdr:row>
      <xdr:rowOff>124723</xdr:rowOff>
    </xdr:to>
    <xdr:sp macro="" textlink="">
      <xdr:nvSpPr>
        <xdr:cNvPr id="833" name="Retângulo 832">
          <a:extLst>
            <a:ext uri="{FF2B5EF4-FFF2-40B4-BE49-F238E27FC236}">
              <a16:creationId xmlns:a16="http://schemas.microsoft.com/office/drawing/2014/main" id="{A720F4CB-8668-CC93-BE18-D752A629206E}"/>
            </a:ext>
          </a:extLst>
        </xdr:cNvPr>
        <xdr:cNvSpPr/>
      </xdr:nvSpPr>
      <xdr:spPr>
        <a:xfrm>
          <a:off x="3336236" y="6494457"/>
          <a:ext cx="294517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96</a:t>
          </a:r>
        </a:p>
      </xdr:txBody>
    </xdr:sp>
    <xdr:clientData/>
  </xdr:twoCellAnchor>
  <xdr:twoCellAnchor>
    <xdr:from>
      <xdr:col>4</xdr:col>
      <xdr:colOff>165324</xdr:colOff>
      <xdr:row>29</xdr:row>
      <xdr:rowOff>161959</xdr:rowOff>
    </xdr:from>
    <xdr:to>
      <xdr:col>4</xdr:col>
      <xdr:colOff>459841</xdr:colOff>
      <xdr:row>30</xdr:row>
      <xdr:rowOff>123549</xdr:rowOff>
    </xdr:to>
    <xdr:sp macro="" textlink="$CK$3">
      <xdr:nvSpPr>
        <xdr:cNvPr id="834" name="Retângulo 833">
          <a:extLst>
            <a:ext uri="{FF2B5EF4-FFF2-40B4-BE49-F238E27FC236}">
              <a16:creationId xmlns:a16="http://schemas.microsoft.com/office/drawing/2014/main" id="{D8C057E4-05E0-6398-2DC6-D18F1FDEA8EB}"/>
            </a:ext>
          </a:extLst>
        </xdr:cNvPr>
        <xdr:cNvSpPr/>
      </xdr:nvSpPr>
      <xdr:spPr>
        <a:xfrm>
          <a:off x="3661559" y="6493283"/>
          <a:ext cx="2945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5D6595E-06A7-4B2E-A8CF-FAD47757C6AB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491952</xdr:colOff>
      <xdr:row>29</xdr:row>
      <xdr:rowOff>165822</xdr:rowOff>
    </xdr:from>
    <xdr:to>
      <xdr:col>4</xdr:col>
      <xdr:colOff>787641</xdr:colOff>
      <xdr:row>30</xdr:row>
      <xdr:rowOff>127412</xdr:rowOff>
    </xdr:to>
    <xdr:sp macro="" textlink="$CK$2">
      <xdr:nvSpPr>
        <xdr:cNvPr id="835" name="Retângulo 834">
          <a:extLst>
            <a:ext uri="{FF2B5EF4-FFF2-40B4-BE49-F238E27FC236}">
              <a16:creationId xmlns:a16="http://schemas.microsoft.com/office/drawing/2014/main" id="{38C8C6B0-04FB-38D1-2165-A683FB737DBE}"/>
            </a:ext>
          </a:extLst>
        </xdr:cNvPr>
        <xdr:cNvSpPr/>
      </xdr:nvSpPr>
      <xdr:spPr>
        <a:xfrm>
          <a:off x="3988187" y="6497146"/>
          <a:ext cx="29568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B49364F-4DE5-4CD9-A66F-756B5D838B9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1016618</xdr:colOff>
      <xdr:row>30</xdr:row>
      <xdr:rowOff>138969</xdr:rowOff>
    </xdr:from>
    <xdr:to>
      <xdr:col>4</xdr:col>
      <xdr:colOff>134518</xdr:colOff>
      <xdr:row>31</xdr:row>
      <xdr:rowOff>100559</xdr:rowOff>
    </xdr:to>
    <xdr:sp macro="" textlink="">
      <xdr:nvSpPr>
        <xdr:cNvPr id="836" name="Retângulo 835">
          <a:extLst>
            <a:ext uri="{FF2B5EF4-FFF2-40B4-BE49-F238E27FC236}">
              <a16:creationId xmlns:a16="http://schemas.microsoft.com/office/drawing/2014/main" id="{CAE590FB-C41E-4C50-B434-23055F29CE14}"/>
            </a:ext>
          </a:extLst>
        </xdr:cNvPr>
        <xdr:cNvSpPr/>
      </xdr:nvSpPr>
      <xdr:spPr>
        <a:xfrm>
          <a:off x="3336236" y="6660793"/>
          <a:ext cx="294517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97</a:t>
          </a:r>
        </a:p>
      </xdr:txBody>
    </xdr:sp>
    <xdr:clientData/>
  </xdr:twoCellAnchor>
  <xdr:twoCellAnchor>
    <xdr:from>
      <xdr:col>4</xdr:col>
      <xdr:colOff>165324</xdr:colOff>
      <xdr:row>30</xdr:row>
      <xdr:rowOff>137794</xdr:rowOff>
    </xdr:from>
    <xdr:to>
      <xdr:col>4</xdr:col>
      <xdr:colOff>459841</xdr:colOff>
      <xdr:row>31</xdr:row>
      <xdr:rowOff>99384</xdr:rowOff>
    </xdr:to>
    <xdr:sp macro="" textlink="$CL$3">
      <xdr:nvSpPr>
        <xdr:cNvPr id="837" name="Retângulo 836">
          <a:extLst>
            <a:ext uri="{FF2B5EF4-FFF2-40B4-BE49-F238E27FC236}">
              <a16:creationId xmlns:a16="http://schemas.microsoft.com/office/drawing/2014/main" id="{BD8F1D92-8EEA-9758-A756-B9E0E01DA6B3}"/>
            </a:ext>
          </a:extLst>
        </xdr:cNvPr>
        <xdr:cNvSpPr/>
      </xdr:nvSpPr>
      <xdr:spPr>
        <a:xfrm>
          <a:off x="3661559" y="6659618"/>
          <a:ext cx="29451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70C089F-1997-4F6B-86BE-E5EA39AB2090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491952</xdr:colOff>
      <xdr:row>30</xdr:row>
      <xdr:rowOff>141661</xdr:rowOff>
    </xdr:from>
    <xdr:to>
      <xdr:col>4</xdr:col>
      <xdr:colOff>787641</xdr:colOff>
      <xdr:row>31</xdr:row>
      <xdr:rowOff>103251</xdr:rowOff>
    </xdr:to>
    <xdr:sp macro="" textlink="$CL$2">
      <xdr:nvSpPr>
        <xdr:cNvPr id="838" name="Retângulo 837">
          <a:extLst>
            <a:ext uri="{FF2B5EF4-FFF2-40B4-BE49-F238E27FC236}">
              <a16:creationId xmlns:a16="http://schemas.microsoft.com/office/drawing/2014/main" id="{F87B55BD-3A21-372F-3C56-38C9B9CD2B8E}"/>
            </a:ext>
          </a:extLst>
        </xdr:cNvPr>
        <xdr:cNvSpPr/>
      </xdr:nvSpPr>
      <xdr:spPr>
        <a:xfrm>
          <a:off x="3988187" y="6663485"/>
          <a:ext cx="29568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F1ED75D-03C1-47A2-9793-71EDC0EFF4AB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816316</xdr:colOff>
      <xdr:row>26</xdr:row>
      <xdr:rowOff>73441</xdr:rowOff>
    </xdr:from>
    <xdr:to>
      <xdr:col>5</xdr:col>
      <xdr:colOff>140</xdr:colOff>
      <xdr:row>27</xdr:row>
      <xdr:rowOff>35031</xdr:rowOff>
    </xdr:to>
    <xdr:sp macro="" textlink="$CG$5">
      <xdr:nvSpPr>
        <xdr:cNvPr id="839" name="Retângulo 838">
          <a:extLst>
            <a:ext uri="{FF2B5EF4-FFF2-40B4-BE49-F238E27FC236}">
              <a16:creationId xmlns:a16="http://schemas.microsoft.com/office/drawing/2014/main" id="{FED52C35-AA75-49B8-27D6-203B54E9B865}"/>
            </a:ext>
          </a:extLst>
        </xdr:cNvPr>
        <xdr:cNvSpPr/>
      </xdr:nvSpPr>
      <xdr:spPr>
        <a:xfrm>
          <a:off x="4312551" y="5833265"/>
          <a:ext cx="29320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85E4E61-B263-4167-95AA-CC3708EF49E9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816316</xdr:colOff>
      <xdr:row>27</xdr:row>
      <xdr:rowOff>49276</xdr:rowOff>
    </xdr:from>
    <xdr:to>
      <xdr:col>5</xdr:col>
      <xdr:colOff>140</xdr:colOff>
      <xdr:row>28</xdr:row>
      <xdr:rowOff>10866</xdr:rowOff>
    </xdr:to>
    <xdr:sp macro="" textlink="$CH$5">
      <xdr:nvSpPr>
        <xdr:cNvPr id="840" name="Retângulo 839">
          <a:extLst>
            <a:ext uri="{FF2B5EF4-FFF2-40B4-BE49-F238E27FC236}">
              <a16:creationId xmlns:a16="http://schemas.microsoft.com/office/drawing/2014/main" id="{C9D8F9C8-062A-1081-EF5B-8EF132AB2271}"/>
            </a:ext>
          </a:extLst>
        </xdr:cNvPr>
        <xdr:cNvSpPr/>
      </xdr:nvSpPr>
      <xdr:spPr>
        <a:xfrm>
          <a:off x="4312551" y="5999600"/>
          <a:ext cx="29320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1D3AE5F-0C1C-46B5-9FC4-5ED10FB2F18B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816316</xdr:colOff>
      <xdr:row>28</xdr:row>
      <xdr:rowOff>25118</xdr:rowOff>
    </xdr:from>
    <xdr:to>
      <xdr:col>5</xdr:col>
      <xdr:colOff>140</xdr:colOff>
      <xdr:row>28</xdr:row>
      <xdr:rowOff>177208</xdr:rowOff>
    </xdr:to>
    <xdr:sp macro="" textlink="$CI$5">
      <xdr:nvSpPr>
        <xdr:cNvPr id="841" name="Retângulo 840">
          <a:extLst>
            <a:ext uri="{FF2B5EF4-FFF2-40B4-BE49-F238E27FC236}">
              <a16:creationId xmlns:a16="http://schemas.microsoft.com/office/drawing/2014/main" id="{0DBBB972-76DB-822E-7B21-51650F5844EE}"/>
            </a:ext>
          </a:extLst>
        </xdr:cNvPr>
        <xdr:cNvSpPr/>
      </xdr:nvSpPr>
      <xdr:spPr>
        <a:xfrm>
          <a:off x="4312551" y="6165942"/>
          <a:ext cx="29320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BA04605-98B3-4E2A-B4F7-ADAC063A837F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816316</xdr:colOff>
      <xdr:row>29</xdr:row>
      <xdr:rowOff>959</xdr:rowOff>
    </xdr:from>
    <xdr:to>
      <xdr:col>5</xdr:col>
      <xdr:colOff>140</xdr:colOff>
      <xdr:row>29</xdr:row>
      <xdr:rowOff>153049</xdr:rowOff>
    </xdr:to>
    <xdr:sp macro="" textlink="$CJ$5">
      <xdr:nvSpPr>
        <xdr:cNvPr id="842" name="Retângulo 841">
          <a:extLst>
            <a:ext uri="{FF2B5EF4-FFF2-40B4-BE49-F238E27FC236}">
              <a16:creationId xmlns:a16="http://schemas.microsoft.com/office/drawing/2014/main" id="{4B8A748D-6608-9497-A3E2-7FA922A68FBF}"/>
            </a:ext>
          </a:extLst>
        </xdr:cNvPr>
        <xdr:cNvSpPr/>
      </xdr:nvSpPr>
      <xdr:spPr>
        <a:xfrm>
          <a:off x="4312551" y="6332283"/>
          <a:ext cx="29320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AD20329-079C-4E1C-A3F9-2C1C38AB3F0F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816316</xdr:colOff>
      <xdr:row>29</xdr:row>
      <xdr:rowOff>167294</xdr:rowOff>
    </xdr:from>
    <xdr:to>
      <xdr:col>5</xdr:col>
      <xdr:colOff>140</xdr:colOff>
      <xdr:row>30</xdr:row>
      <xdr:rowOff>128884</xdr:rowOff>
    </xdr:to>
    <xdr:sp macro="" textlink="$CK$5">
      <xdr:nvSpPr>
        <xdr:cNvPr id="843" name="Retângulo 842">
          <a:extLst>
            <a:ext uri="{FF2B5EF4-FFF2-40B4-BE49-F238E27FC236}">
              <a16:creationId xmlns:a16="http://schemas.microsoft.com/office/drawing/2014/main" id="{42DE169F-29ED-49FD-64CA-26969342B14E}"/>
            </a:ext>
          </a:extLst>
        </xdr:cNvPr>
        <xdr:cNvSpPr/>
      </xdr:nvSpPr>
      <xdr:spPr>
        <a:xfrm>
          <a:off x="4312551" y="6498618"/>
          <a:ext cx="29320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3959410-933F-429C-9A54-F7F86EE5D61D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816316</xdr:colOff>
      <xdr:row>30</xdr:row>
      <xdr:rowOff>143133</xdr:rowOff>
    </xdr:from>
    <xdr:to>
      <xdr:col>5</xdr:col>
      <xdr:colOff>140</xdr:colOff>
      <xdr:row>31</xdr:row>
      <xdr:rowOff>104723</xdr:rowOff>
    </xdr:to>
    <xdr:sp macro="" textlink="$CL$5">
      <xdr:nvSpPr>
        <xdr:cNvPr id="844" name="Retângulo 843">
          <a:extLst>
            <a:ext uri="{FF2B5EF4-FFF2-40B4-BE49-F238E27FC236}">
              <a16:creationId xmlns:a16="http://schemas.microsoft.com/office/drawing/2014/main" id="{42EB355E-2A97-5845-4807-69C4E11F10AD}"/>
            </a:ext>
          </a:extLst>
        </xdr:cNvPr>
        <xdr:cNvSpPr/>
      </xdr:nvSpPr>
      <xdr:spPr>
        <a:xfrm>
          <a:off x="4312551" y="6664957"/>
          <a:ext cx="29320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3FB9F56-3D8F-436B-B2BF-BEA9E26F8147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1016893</xdr:colOff>
      <xdr:row>13</xdr:row>
      <xdr:rowOff>49833</xdr:rowOff>
    </xdr:from>
    <xdr:to>
      <xdr:col>4</xdr:col>
      <xdr:colOff>137004</xdr:colOff>
      <xdr:row>14</xdr:row>
      <xdr:rowOff>11423</xdr:rowOff>
    </xdr:to>
    <xdr:sp macro="" textlink="">
      <xdr:nvSpPr>
        <xdr:cNvPr id="845" name="Retângulo 844">
          <a:extLst>
            <a:ext uri="{FF2B5EF4-FFF2-40B4-BE49-F238E27FC236}">
              <a16:creationId xmlns:a16="http://schemas.microsoft.com/office/drawing/2014/main" id="{C7C697AB-A728-529C-B9BD-04F35433A97C}"/>
            </a:ext>
          </a:extLst>
        </xdr:cNvPr>
        <xdr:cNvSpPr/>
      </xdr:nvSpPr>
      <xdr:spPr>
        <a:xfrm>
          <a:off x="3336511" y="3333157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77</a:t>
          </a:r>
        </a:p>
      </xdr:txBody>
    </xdr:sp>
    <xdr:clientData/>
  </xdr:twoCellAnchor>
  <xdr:twoCellAnchor>
    <xdr:from>
      <xdr:col>4</xdr:col>
      <xdr:colOff>164497</xdr:colOff>
      <xdr:row>13</xdr:row>
      <xdr:rowOff>48665</xdr:rowOff>
    </xdr:from>
    <xdr:to>
      <xdr:col>4</xdr:col>
      <xdr:colOff>461225</xdr:colOff>
      <xdr:row>14</xdr:row>
      <xdr:rowOff>10255</xdr:rowOff>
    </xdr:to>
    <xdr:sp macro="" textlink="$BR$3">
      <xdr:nvSpPr>
        <xdr:cNvPr id="846" name="Retângulo 845">
          <a:extLst>
            <a:ext uri="{FF2B5EF4-FFF2-40B4-BE49-F238E27FC236}">
              <a16:creationId xmlns:a16="http://schemas.microsoft.com/office/drawing/2014/main" id="{02E04C94-2713-F5DC-95BD-48AE0A0E3906}"/>
            </a:ext>
          </a:extLst>
        </xdr:cNvPr>
        <xdr:cNvSpPr/>
      </xdr:nvSpPr>
      <xdr:spPr>
        <a:xfrm>
          <a:off x="3660732" y="3331989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ACDAAC9-4F49-4760-944D-85E081802A9B}" type="TxLink">
            <a:rPr lang="en-US" sz="800" b="1" i="0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 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491193</xdr:colOff>
      <xdr:row>13</xdr:row>
      <xdr:rowOff>49301</xdr:rowOff>
    </xdr:from>
    <xdr:to>
      <xdr:col>4</xdr:col>
      <xdr:colOff>784264</xdr:colOff>
      <xdr:row>14</xdr:row>
      <xdr:rowOff>10891</xdr:rowOff>
    </xdr:to>
    <xdr:sp macro="" textlink="$BR$2">
      <xdr:nvSpPr>
        <xdr:cNvPr id="847" name="Retângulo 846">
          <a:extLst>
            <a:ext uri="{FF2B5EF4-FFF2-40B4-BE49-F238E27FC236}">
              <a16:creationId xmlns:a16="http://schemas.microsoft.com/office/drawing/2014/main" id="{256EB6A3-2030-F5E2-1653-F1CFB34F1A44}"/>
            </a:ext>
          </a:extLst>
        </xdr:cNvPr>
        <xdr:cNvSpPr/>
      </xdr:nvSpPr>
      <xdr:spPr>
        <a:xfrm>
          <a:off x="3987428" y="3332625"/>
          <a:ext cx="29307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12E8B9C-CC82-4D10-8971-1BE13F9D3A84}" type="TxLink">
            <a:rPr lang="en-US" sz="800" b="1" i="0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64,1</a:t>
          </a:fld>
          <a:endParaRPr lang="pt-BR" sz="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1016893</xdr:colOff>
      <xdr:row>14</xdr:row>
      <xdr:rowOff>26205</xdr:rowOff>
    </xdr:from>
    <xdr:to>
      <xdr:col>4</xdr:col>
      <xdr:colOff>137004</xdr:colOff>
      <xdr:row>14</xdr:row>
      <xdr:rowOff>178295</xdr:rowOff>
    </xdr:to>
    <xdr:sp macro="" textlink="">
      <xdr:nvSpPr>
        <xdr:cNvPr id="848" name="Retângulo 847">
          <a:extLst>
            <a:ext uri="{FF2B5EF4-FFF2-40B4-BE49-F238E27FC236}">
              <a16:creationId xmlns:a16="http://schemas.microsoft.com/office/drawing/2014/main" id="{E85362EC-DF90-6C98-327E-68B5DAEEA6CC}"/>
            </a:ext>
          </a:extLst>
        </xdr:cNvPr>
        <xdr:cNvSpPr/>
      </xdr:nvSpPr>
      <xdr:spPr>
        <a:xfrm>
          <a:off x="3336511" y="3500029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78</a:t>
          </a:r>
        </a:p>
      </xdr:txBody>
    </xdr:sp>
    <xdr:clientData/>
  </xdr:twoCellAnchor>
  <xdr:twoCellAnchor>
    <xdr:from>
      <xdr:col>4</xdr:col>
      <xdr:colOff>164497</xdr:colOff>
      <xdr:row>14</xdr:row>
      <xdr:rowOff>22654</xdr:rowOff>
    </xdr:from>
    <xdr:to>
      <xdr:col>4</xdr:col>
      <xdr:colOff>461225</xdr:colOff>
      <xdr:row>14</xdr:row>
      <xdr:rowOff>174744</xdr:rowOff>
    </xdr:to>
    <xdr:sp macro="" textlink="$BS$3">
      <xdr:nvSpPr>
        <xdr:cNvPr id="849" name="Retângulo 848">
          <a:extLst>
            <a:ext uri="{FF2B5EF4-FFF2-40B4-BE49-F238E27FC236}">
              <a16:creationId xmlns:a16="http://schemas.microsoft.com/office/drawing/2014/main" id="{02D8C765-8B9A-C10A-E3E8-557F2DAE5249}"/>
            </a:ext>
          </a:extLst>
        </xdr:cNvPr>
        <xdr:cNvSpPr/>
      </xdr:nvSpPr>
      <xdr:spPr>
        <a:xfrm>
          <a:off x="3660732" y="3496478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ACEC5C0-88AF-4F77-94E9-78A86B237F18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14</xdr:row>
      <xdr:rowOff>26308</xdr:rowOff>
    </xdr:from>
    <xdr:to>
      <xdr:col>4</xdr:col>
      <xdr:colOff>784262</xdr:colOff>
      <xdr:row>14</xdr:row>
      <xdr:rowOff>178398</xdr:rowOff>
    </xdr:to>
    <xdr:sp macro="" textlink="$BS$2">
      <xdr:nvSpPr>
        <xdr:cNvPr id="850" name="Retângulo 849">
          <a:extLst>
            <a:ext uri="{FF2B5EF4-FFF2-40B4-BE49-F238E27FC236}">
              <a16:creationId xmlns:a16="http://schemas.microsoft.com/office/drawing/2014/main" id="{10973A6D-524A-2E1C-8D67-193CF53F1A89}"/>
            </a:ext>
          </a:extLst>
        </xdr:cNvPr>
        <xdr:cNvSpPr/>
      </xdr:nvSpPr>
      <xdr:spPr>
        <a:xfrm>
          <a:off x="3987428" y="3500132"/>
          <a:ext cx="29306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1A4B2C2-5224-4DDD-8259-F2559F0AE592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64,1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1016894</xdr:colOff>
      <xdr:row>15</xdr:row>
      <xdr:rowOff>2042</xdr:rowOff>
    </xdr:from>
    <xdr:to>
      <xdr:col>4</xdr:col>
      <xdr:colOff>137005</xdr:colOff>
      <xdr:row>15</xdr:row>
      <xdr:rowOff>154132</xdr:rowOff>
    </xdr:to>
    <xdr:sp macro="" textlink="">
      <xdr:nvSpPr>
        <xdr:cNvPr id="851" name="Retângulo 850">
          <a:extLst>
            <a:ext uri="{FF2B5EF4-FFF2-40B4-BE49-F238E27FC236}">
              <a16:creationId xmlns:a16="http://schemas.microsoft.com/office/drawing/2014/main" id="{0E36165B-BA5D-AAEB-DD12-3D5CD8854CE8}"/>
            </a:ext>
          </a:extLst>
        </xdr:cNvPr>
        <xdr:cNvSpPr/>
      </xdr:nvSpPr>
      <xdr:spPr>
        <a:xfrm>
          <a:off x="3336512" y="3666366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79</a:t>
          </a:r>
        </a:p>
      </xdr:txBody>
    </xdr:sp>
    <xdr:clientData/>
  </xdr:twoCellAnchor>
  <xdr:twoCellAnchor>
    <xdr:from>
      <xdr:col>4</xdr:col>
      <xdr:colOff>164497</xdr:colOff>
      <xdr:row>14</xdr:row>
      <xdr:rowOff>188999</xdr:rowOff>
    </xdr:from>
    <xdr:to>
      <xdr:col>4</xdr:col>
      <xdr:colOff>461225</xdr:colOff>
      <xdr:row>15</xdr:row>
      <xdr:rowOff>150589</xdr:rowOff>
    </xdr:to>
    <xdr:sp macro="" textlink="$BT$3">
      <xdr:nvSpPr>
        <xdr:cNvPr id="852" name="Retângulo 851">
          <a:extLst>
            <a:ext uri="{FF2B5EF4-FFF2-40B4-BE49-F238E27FC236}">
              <a16:creationId xmlns:a16="http://schemas.microsoft.com/office/drawing/2014/main" id="{253ABB41-0E6F-74BC-0BFC-ADFFAD0711E4}"/>
            </a:ext>
          </a:extLst>
        </xdr:cNvPr>
        <xdr:cNvSpPr/>
      </xdr:nvSpPr>
      <xdr:spPr>
        <a:xfrm>
          <a:off x="3660732" y="3662823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C77A17B-E422-401B-B1CC-3534DFD41E0E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15</xdr:row>
      <xdr:rowOff>2147</xdr:rowOff>
    </xdr:from>
    <xdr:to>
      <xdr:col>4</xdr:col>
      <xdr:colOff>789084</xdr:colOff>
      <xdr:row>15</xdr:row>
      <xdr:rowOff>154237</xdr:rowOff>
    </xdr:to>
    <xdr:sp macro="" textlink="$BT$2">
      <xdr:nvSpPr>
        <xdr:cNvPr id="853" name="Retângulo 852">
          <a:extLst>
            <a:ext uri="{FF2B5EF4-FFF2-40B4-BE49-F238E27FC236}">
              <a16:creationId xmlns:a16="http://schemas.microsoft.com/office/drawing/2014/main" id="{991F071F-EB99-E279-6A10-A3F1A5C6290E}"/>
            </a:ext>
          </a:extLst>
        </xdr:cNvPr>
        <xdr:cNvSpPr/>
      </xdr:nvSpPr>
      <xdr:spPr>
        <a:xfrm>
          <a:off x="3987428" y="3666471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027395C-34FD-4605-A8B9-1765C3266DF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64,1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1016895</xdr:colOff>
      <xdr:row>15</xdr:row>
      <xdr:rowOff>167746</xdr:rowOff>
    </xdr:from>
    <xdr:to>
      <xdr:col>4</xdr:col>
      <xdr:colOff>137006</xdr:colOff>
      <xdr:row>16</xdr:row>
      <xdr:rowOff>129336</xdr:rowOff>
    </xdr:to>
    <xdr:sp macro="" textlink="">
      <xdr:nvSpPr>
        <xdr:cNvPr id="854" name="Retângulo 853">
          <a:extLst>
            <a:ext uri="{FF2B5EF4-FFF2-40B4-BE49-F238E27FC236}">
              <a16:creationId xmlns:a16="http://schemas.microsoft.com/office/drawing/2014/main" id="{0FA4C6E9-0901-0182-E838-DC9D42884E26}"/>
            </a:ext>
          </a:extLst>
        </xdr:cNvPr>
        <xdr:cNvSpPr/>
      </xdr:nvSpPr>
      <xdr:spPr>
        <a:xfrm>
          <a:off x="3336513" y="3832070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80</a:t>
          </a:r>
        </a:p>
      </xdr:txBody>
    </xdr:sp>
    <xdr:clientData/>
  </xdr:twoCellAnchor>
  <xdr:twoCellAnchor>
    <xdr:from>
      <xdr:col>4</xdr:col>
      <xdr:colOff>164497</xdr:colOff>
      <xdr:row>15</xdr:row>
      <xdr:rowOff>164196</xdr:rowOff>
    </xdr:from>
    <xdr:to>
      <xdr:col>4</xdr:col>
      <xdr:colOff>461225</xdr:colOff>
      <xdr:row>16</xdr:row>
      <xdr:rowOff>125786</xdr:rowOff>
    </xdr:to>
    <xdr:sp macro="" textlink="$BU$3">
      <xdr:nvSpPr>
        <xdr:cNvPr id="855" name="Retângulo 854">
          <a:extLst>
            <a:ext uri="{FF2B5EF4-FFF2-40B4-BE49-F238E27FC236}">
              <a16:creationId xmlns:a16="http://schemas.microsoft.com/office/drawing/2014/main" id="{3E598EF8-EC06-5E4D-44A3-12EE392E2513}"/>
            </a:ext>
          </a:extLst>
        </xdr:cNvPr>
        <xdr:cNvSpPr/>
      </xdr:nvSpPr>
      <xdr:spPr>
        <a:xfrm>
          <a:off x="3660732" y="3828520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CCFCA8A-01A7-4957-897F-BE5BC3963991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15</xdr:row>
      <xdr:rowOff>168485</xdr:rowOff>
    </xdr:from>
    <xdr:to>
      <xdr:col>4</xdr:col>
      <xdr:colOff>789084</xdr:colOff>
      <xdr:row>16</xdr:row>
      <xdr:rowOff>130075</xdr:rowOff>
    </xdr:to>
    <xdr:sp macro="" textlink="$BU$2">
      <xdr:nvSpPr>
        <xdr:cNvPr id="856" name="Retângulo 855">
          <a:extLst>
            <a:ext uri="{FF2B5EF4-FFF2-40B4-BE49-F238E27FC236}">
              <a16:creationId xmlns:a16="http://schemas.microsoft.com/office/drawing/2014/main" id="{638BBE7E-D459-C833-EDF8-571787325D8F}"/>
            </a:ext>
          </a:extLst>
        </xdr:cNvPr>
        <xdr:cNvSpPr/>
      </xdr:nvSpPr>
      <xdr:spPr>
        <a:xfrm>
          <a:off x="3987428" y="3832809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A6C10E3-CC38-4967-9FC3-CE0003184431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64,1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1016894</xdr:colOff>
      <xdr:row>16</xdr:row>
      <xdr:rowOff>143586</xdr:rowOff>
    </xdr:from>
    <xdr:to>
      <xdr:col>4</xdr:col>
      <xdr:colOff>137005</xdr:colOff>
      <xdr:row>17</xdr:row>
      <xdr:rowOff>105176</xdr:rowOff>
    </xdr:to>
    <xdr:sp macro="" textlink="">
      <xdr:nvSpPr>
        <xdr:cNvPr id="857" name="Retângulo 856">
          <a:extLst>
            <a:ext uri="{FF2B5EF4-FFF2-40B4-BE49-F238E27FC236}">
              <a16:creationId xmlns:a16="http://schemas.microsoft.com/office/drawing/2014/main" id="{B76C0577-7EA4-23BD-0D61-F9E0E6BD5FC8}"/>
            </a:ext>
          </a:extLst>
        </xdr:cNvPr>
        <xdr:cNvSpPr/>
      </xdr:nvSpPr>
      <xdr:spPr>
        <a:xfrm>
          <a:off x="3336512" y="3998410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81</a:t>
          </a:r>
        </a:p>
      </xdr:txBody>
    </xdr:sp>
    <xdr:clientData/>
  </xdr:twoCellAnchor>
  <xdr:twoCellAnchor>
    <xdr:from>
      <xdr:col>4</xdr:col>
      <xdr:colOff>164497</xdr:colOff>
      <xdr:row>16</xdr:row>
      <xdr:rowOff>140036</xdr:rowOff>
    </xdr:from>
    <xdr:to>
      <xdr:col>4</xdr:col>
      <xdr:colOff>461225</xdr:colOff>
      <xdr:row>17</xdr:row>
      <xdr:rowOff>101626</xdr:rowOff>
    </xdr:to>
    <xdr:sp macro="" textlink="$BV$3">
      <xdr:nvSpPr>
        <xdr:cNvPr id="858" name="Retângulo 857">
          <a:extLst>
            <a:ext uri="{FF2B5EF4-FFF2-40B4-BE49-F238E27FC236}">
              <a16:creationId xmlns:a16="http://schemas.microsoft.com/office/drawing/2014/main" id="{A6A6B8C2-3DB2-8C80-7666-282702F653A8}"/>
            </a:ext>
          </a:extLst>
        </xdr:cNvPr>
        <xdr:cNvSpPr/>
      </xdr:nvSpPr>
      <xdr:spPr>
        <a:xfrm>
          <a:off x="3660732" y="3994860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47A5036-D96B-4010-9884-72F002FD2E1D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16</xdr:row>
      <xdr:rowOff>145493</xdr:rowOff>
    </xdr:from>
    <xdr:to>
      <xdr:col>4</xdr:col>
      <xdr:colOff>789084</xdr:colOff>
      <xdr:row>17</xdr:row>
      <xdr:rowOff>107083</xdr:rowOff>
    </xdr:to>
    <xdr:sp macro="" textlink="$BV$2">
      <xdr:nvSpPr>
        <xdr:cNvPr id="859" name="Retângulo 858">
          <a:extLst>
            <a:ext uri="{FF2B5EF4-FFF2-40B4-BE49-F238E27FC236}">
              <a16:creationId xmlns:a16="http://schemas.microsoft.com/office/drawing/2014/main" id="{FDFDA8BC-A2EF-71EF-BF97-0372ACB29D24}"/>
            </a:ext>
          </a:extLst>
        </xdr:cNvPr>
        <xdr:cNvSpPr/>
      </xdr:nvSpPr>
      <xdr:spPr>
        <a:xfrm>
          <a:off x="3987428" y="4000317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82FC749-5DEE-4BF8-83AD-D6D9BCCE65AC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64,1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1016895</xdr:colOff>
      <xdr:row>17</xdr:row>
      <xdr:rowOff>118702</xdr:rowOff>
    </xdr:from>
    <xdr:to>
      <xdr:col>4</xdr:col>
      <xdr:colOff>137006</xdr:colOff>
      <xdr:row>18</xdr:row>
      <xdr:rowOff>80292</xdr:rowOff>
    </xdr:to>
    <xdr:sp macro="" textlink="">
      <xdr:nvSpPr>
        <xdr:cNvPr id="860" name="Retângulo 859">
          <a:extLst>
            <a:ext uri="{FF2B5EF4-FFF2-40B4-BE49-F238E27FC236}">
              <a16:creationId xmlns:a16="http://schemas.microsoft.com/office/drawing/2014/main" id="{FFBC8391-38CC-FE0B-0F62-F7EF39DD7BD4}"/>
            </a:ext>
          </a:extLst>
        </xdr:cNvPr>
        <xdr:cNvSpPr/>
      </xdr:nvSpPr>
      <xdr:spPr>
        <a:xfrm>
          <a:off x="3336513" y="4164026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82</a:t>
          </a:r>
        </a:p>
      </xdr:txBody>
    </xdr:sp>
    <xdr:clientData/>
  </xdr:twoCellAnchor>
  <xdr:twoCellAnchor>
    <xdr:from>
      <xdr:col>4</xdr:col>
      <xdr:colOff>164497</xdr:colOff>
      <xdr:row>17</xdr:row>
      <xdr:rowOff>115151</xdr:rowOff>
    </xdr:from>
    <xdr:to>
      <xdr:col>4</xdr:col>
      <xdr:colOff>461225</xdr:colOff>
      <xdr:row>18</xdr:row>
      <xdr:rowOff>76741</xdr:rowOff>
    </xdr:to>
    <xdr:sp macro="" textlink="$BW$3">
      <xdr:nvSpPr>
        <xdr:cNvPr id="861" name="Retângulo 860">
          <a:extLst>
            <a:ext uri="{FF2B5EF4-FFF2-40B4-BE49-F238E27FC236}">
              <a16:creationId xmlns:a16="http://schemas.microsoft.com/office/drawing/2014/main" id="{00EFDAF1-784E-5514-5DCD-C04608E32DFD}"/>
            </a:ext>
          </a:extLst>
        </xdr:cNvPr>
        <xdr:cNvSpPr/>
      </xdr:nvSpPr>
      <xdr:spPr>
        <a:xfrm>
          <a:off x="3660732" y="4160475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C572891-BBE8-4360-BA04-D3EDA00CEE22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17</xdr:row>
      <xdr:rowOff>120713</xdr:rowOff>
    </xdr:from>
    <xdr:to>
      <xdr:col>4</xdr:col>
      <xdr:colOff>789084</xdr:colOff>
      <xdr:row>18</xdr:row>
      <xdr:rowOff>82303</xdr:rowOff>
    </xdr:to>
    <xdr:sp macro="" textlink="$BW$2">
      <xdr:nvSpPr>
        <xdr:cNvPr id="862" name="Retângulo 861">
          <a:extLst>
            <a:ext uri="{FF2B5EF4-FFF2-40B4-BE49-F238E27FC236}">
              <a16:creationId xmlns:a16="http://schemas.microsoft.com/office/drawing/2014/main" id="{DC227518-5C93-D57D-40F1-46B9595FEEBA}"/>
            </a:ext>
          </a:extLst>
        </xdr:cNvPr>
        <xdr:cNvSpPr/>
      </xdr:nvSpPr>
      <xdr:spPr>
        <a:xfrm>
          <a:off x="3987428" y="4166037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B71A1EA-E869-44C8-9BAA-0176E0AAF872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1016892</xdr:colOff>
      <xdr:row>18</xdr:row>
      <xdr:rowOff>95667</xdr:rowOff>
    </xdr:from>
    <xdr:to>
      <xdr:col>4</xdr:col>
      <xdr:colOff>137003</xdr:colOff>
      <xdr:row>19</xdr:row>
      <xdr:rowOff>57257</xdr:rowOff>
    </xdr:to>
    <xdr:sp macro="" textlink="">
      <xdr:nvSpPr>
        <xdr:cNvPr id="863" name="Retângulo 862">
          <a:extLst>
            <a:ext uri="{FF2B5EF4-FFF2-40B4-BE49-F238E27FC236}">
              <a16:creationId xmlns:a16="http://schemas.microsoft.com/office/drawing/2014/main" id="{A495E5E3-04ED-7778-C382-3EFB69DAB5D0}"/>
            </a:ext>
          </a:extLst>
        </xdr:cNvPr>
        <xdr:cNvSpPr/>
      </xdr:nvSpPr>
      <xdr:spPr>
        <a:xfrm>
          <a:off x="3336510" y="4331491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83</a:t>
          </a:r>
        </a:p>
      </xdr:txBody>
    </xdr:sp>
    <xdr:clientData/>
  </xdr:twoCellAnchor>
  <xdr:twoCellAnchor>
    <xdr:from>
      <xdr:col>4</xdr:col>
      <xdr:colOff>164497</xdr:colOff>
      <xdr:row>18</xdr:row>
      <xdr:rowOff>89735</xdr:rowOff>
    </xdr:from>
    <xdr:to>
      <xdr:col>4</xdr:col>
      <xdr:colOff>461225</xdr:colOff>
      <xdr:row>19</xdr:row>
      <xdr:rowOff>51325</xdr:rowOff>
    </xdr:to>
    <xdr:sp macro="" textlink="$BX$3">
      <xdr:nvSpPr>
        <xdr:cNvPr id="864" name="Retângulo 863">
          <a:extLst>
            <a:ext uri="{FF2B5EF4-FFF2-40B4-BE49-F238E27FC236}">
              <a16:creationId xmlns:a16="http://schemas.microsoft.com/office/drawing/2014/main" id="{31AB4149-6F95-5F53-EAC3-F7F8A08605C9}"/>
            </a:ext>
          </a:extLst>
        </xdr:cNvPr>
        <xdr:cNvSpPr/>
      </xdr:nvSpPr>
      <xdr:spPr>
        <a:xfrm>
          <a:off x="3660732" y="4325559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1839A83-D821-4E25-8837-1199D3DABFBA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18</xdr:row>
      <xdr:rowOff>98314</xdr:rowOff>
    </xdr:from>
    <xdr:to>
      <xdr:col>4</xdr:col>
      <xdr:colOff>789084</xdr:colOff>
      <xdr:row>19</xdr:row>
      <xdr:rowOff>59904</xdr:rowOff>
    </xdr:to>
    <xdr:sp macro="" textlink="$BX$2">
      <xdr:nvSpPr>
        <xdr:cNvPr id="865" name="Retângulo 864">
          <a:extLst>
            <a:ext uri="{FF2B5EF4-FFF2-40B4-BE49-F238E27FC236}">
              <a16:creationId xmlns:a16="http://schemas.microsoft.com/office/drawing/2014/main" id="{E40A65BF-E810-D255-C89C-7717225E761F}"/>
            </a:ext>
          </a:extLst>
        </xdr:cNvPr>
        <xdr:cNvSpPr/>
      </xdr:nvSpPr>
      <xdr:spPr>
        <a:xfrm>
          <a:off x="3987428" y="4334138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31481B5-7B51-4C28-854D-D85E4E79A9C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1016891</xdr:colOff>
      <xdr:row>19</xdr:row>
      <xdr:rowOff>70462</xdr:rowOff>
    </xdr:from>
    <xdr:to>
      <xdr:col>4</xdr:col>
      <xdr:colOff>137002</xdr:colOff>
      <xdr:row>20</xdr:row>
      <xdr:rowOff>32052</xdr:rowOff>
    </xdr:to>
    <xdr:sp macro="" textlink="">
      <xdr:nvSpPr>
        <xdr:cNvPr id="866" name="Retângulo 865">
          <a:extLst>
            <a:ext uri="{FF2B5EF4-FFF2-40B4-BE49-F238E27FC236}">
              <a16:creationId xmlns:a16="http://schemas.microsoft.com/office/drawing/2014/main" id="{16AEE1B6-312B-778B-37A5-30256FFE1D49}"/>
            </a:ext>
          </a:extLst>
        </xdr:cNvPr>
        <xdr:cNvSpPr/>
      </xdr:nvSpPr>
      <xdr:spPr>
        <a:xfrm>
          <a:off x="3336509" y="4496786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84</a:t>
          </a:r>
        </a:p>
      </xdr:txBody>
    </xdr:sp>
    <xdr:clientData/>
  </xdr:twoCellAnchor>
  <xdr:twoCellAnchor>
    <xdr:from>
      <xdr:col>4</xdr:col>
      <xdr:colOff>164497</xdr:colOff>
      <xdr:row>19</xdr:row>
      <xdr:rowOff>66911</xdr:rowOff>
    </xdr:from>
    <xdr:to>
      <xdr:col>4</xdr:col>
      <xdr:colOff>461225</xdr:colOff>
      <xdr:row>20</xdr:row>
      <xdr:rowOff>28501</xdr:rowOff>
    </xdr:to>
    <xdr:sp macro="" textlink="$BY$3">
      <xdr:nvSpPr>
        <xdr:cNvPr id="867" name="Retângulo 866">
          <a:extLst>
            <a:ext uri="{FF2B5EF4-FFF2-40B4-BE49-F238E27FC236}">
              <a16:creationId xmlns:a16="http://schemas.microsoft.com/office/drawing/2014/main" id="{968FAA0F-3914-2622-86AD-73D060B5A9CA}"/>
            </a:ext>
          </a:extLst>
        </xdr:cNvPr>
        <xdr:cNvSpPr/>
      </xdr:nvSpPr>
      <xdr:spPr>
        <a:xfrm>
          <a:off x="3660732" y="4493235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3C1070F-304F-4C90-84B7-EAFD736561D9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19</xdr:row>
      <xdr:rowOff>73010</xdr:rowOff>
    </xdr:from>
    <xdr:to>
      <xdr:col>4</xdr:col>
      <xdr:colOff>789084</xdr:colOff>
      <xdr:row>20</xdr:row>
      <xdr:rowOff>34600</xdr:rowOff>
    </xdr:to>
    <xdr:sp macro="" textlink="$BY$2">
      <xdr:nvSpPr>
        <xdr:cNvPr id="868" name="Retângulo 867">
          <a:extLst>
            <a:ext uri="{FF2B5EF4-FFF2-40B4-BE49-F238E27FC236}">
              <a16:creationId xmlns:a16="http://schemas.microsoft.com/office/drawing/2014/main" id="{CE61E291-FAC5-4594-5276-2AFCBECD08F3}"/>
            </a:ext>
          </a:extLst>
        </xdr:cNvPr>
        <xdr:cNvSpPr/>
      </xdr:nvSpPr>
      <xdr:spPr>
        <a:xfrm>
          <a:off x="3987428" y="4499334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00BFF22-3E9E-4984-AA9C-1A33FEE14E86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1016895</xdr:colOff>
      <xdr:row>20</xdr:row>
      <xdr:rowOff>48053</xdr:rowOff>
    </xdr:from>
    <xdr:to>
      <xdr:col>4</xdr:col>
      <xdr:colOff>137006</xdr:colOff>
      <xdr:row>21</xdr:row>
      <xdr:rowOff>9643</xdr:rowOff>
    </xdr:to>
    <xdr:sp macro="" textlink="">
      <xdr:nvSpPr>
        <xdr:cNvPr id="869" name="Retângulo 868">
          <a:extLst>
            <a:ext uri="{FF2B5EF4-FFF2-40B4-BE49-F238E27FC236}">
              <a16:creationId xmlns:a16="http://schemas.microsoft.com/office/drawing/2014/main" id="{FC4C7DEA-468D-23E1-198E-66FF73F4E469}"/>
            </a:ext>
          </a:extLst>
        </xdr:cNvPr>
        <xdr:cNvSpPr/>
      </xdr:nvSpPr>
      <xdr:spPr>
        <a:xfrm>
          <a:off x="3336513" y="4664877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85</a:t>
          </a:r>
        </a:p>
      </xdr:txBody>
    </xdr:sp>
    <xdr:clientData/>
  </xdr:twoCellAnchor>
  <xdr:twoCellAnchor>
    <xdr:from>
      <xdr:col>4</xdr:col>
      <xdr:colOff>164496</xdr:colOff>
      <xdr:row>20</xdr:row>
      <xdr:rowOff>42114</xdr:rowOff>
    </xdr:from>
    <xdr:to>
      <xdr:col>4</xdr:col>
      <xdr:colOff>461224</xdr:colOff>
      <xdr:row>21</xdr:row>
      <xdr:rowOff>3704</xdr:rowOff>
    </xdr:to>
    <xdr:sp macro="" textlink="$BZ$3">
      <xdr:nvSpPr>
        <xdr:cNvPr id="870" name="Retângulo 869">
          <a:extLst>
            <a:ext uri="{FF2B5EF4-FFF2-40B4-BE49-F238E27FC236}">
              <a16:creationId xmlns:a16="http://schemas.microsoft.com/office/drawing/2014/main" id="{7AC42248-C2B3-A2CF-8C8A-36BFCB6FB916}"/>
            </a:ext>
          </a:extLst>
        </xdr:cNvPr>
        <xdr:cNvSpPr/>
      </xdr:nvSpPr>
      <xdr:spPr>
        <a:xfrm>
          <a:off x="3660731" y="4658938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96DC94E-E182-4689-9AC8-7FAF88D57727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20</xdr:row>
      <xdr:rowOff>48848</xdr:rowOff>
    </xdr:from>
    <xdr:to>
      <xdr:col>4</xdr:col>
      <xdr:colOff>789084</xdr:colOff>
      <xdr:row>21</xdr:row>
      <xdr:rowOff>10438</xdr:rowOff>
    </xdr:to>
    <xdr:sp macro="" textlink="$BZ$2">
      <xdr:nvSpPr>
        <xdr:cNvPr id="871" name="Retângulo 870">
          <a:extLst>
            <a:ext uri="{FF2B5EF4-FFF2-40B4-BE49-F238E27FC236}">
              <a16:creationId xmlns:a16="http://schemas.microsoft.com/office/drawing/2014/main" id="{8599AC02-E0BF-82A2-FB1A-E4D8943BC5A0}"/>
            </a:ext>
          </a:extLst>
        </xdr:cNvPr>
        <xdr:cNvSpPr/>
      </xdr:nvSpPr>
      <xdr:spPr>
        <a:xfrm>
          <a:off x="3987428" y="4665672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38ABA3F-5A84-4380-B63B-153C99755D1F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1016895</xdr:colOff>
      <xdr:row>21</xdr:row>
      <xdr:rowOff>23889</xdr:rowOff>
    </xdr:from>
    <xdr:to>
      <xdr:col>4</xdr:col>
      <xdr:colOff>137006</xdr:colOff>
      <xdr:row>21</xdr:row>
      <xdr:rowOff>175979</xdr:rowOff>
    </xdr:to>
    <xdr:sp macro="" textlink="">
      <xdr:nvSpPr>
        <xdr:cNvPr id="872" name="Retângulo 871">
          <a:extLst>
            <a:ext uri="{FF2B5EF4-FFF2-40B4-BE49-F238E27FC236}">
              <a16:creationId xmlns:a16="http://schemas.microsoft.com/office/drawing/2014/main" id="{63775A5B-FEE4-C4F1-8BBA-E84AA998B3C9}"/>
            </a:ext>
          </a:extLst>
        </xdr:cNvPr>
        <xdr:cNvSpPr/>
      </xdr:nvSpPr>
      <xdr:spPr>
        <a:xfrm>
          <a:off x="3336513" y="4831213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86</a:t>
          </a:r>
        </a:p>
      </xdr:txBody>
    </xdr:sp>
    <xdr:clientData/>
  </xdr:twoCellAnchor>
  <xdr:twoCellAnchor>
    <xdr:from>
      <xdr:col>4</xdr:col>
      <xdr:colOff>164497</xdr:colOff>
      <xdr:row>21</xdr:row>
      <xdr:rowOff>17952</xdr:rowOff>
    </xdr:from>
    <xdr:to>
      <xdr:col>4</xdr:col>
      <xdr:colOff>461225</xdr:colOff>
      <xdr:row>21</xdr:row>
      <xdr:rowOff>170042</xdr:rowOff>
    </xdr:to>
    <xdr:sp macro="" textlink="$CA$3">
      <xdr:nvSpPr>
        <xdr:cNvPr id="873" name="Retângulo 872">
          <a:extLst>
            <a:ext uri="{FF2B5EF4-FFF2-40B4-BE49-F238E27FC236}">
              <a16:creationId xmlns:a16="http://schemas.microsoft.com/office/drawing/2014/main" id="{CBE87F3B-1A6F-80D8-0A44-780F909AA4DD}"/>
            </a:ext>
          </a:extLst>
        </xdr:cNvPr>
        <xdr:cNvSpPr/>
      </xdr:nvSpPr>
      <xdr:spPr>
        <a:xfrm>
          <a:off x="3660732" y="4825276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38030CB-3C4B-4F51-A560-9D4326899CBA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21</xdr:row>
      <xdr:rowOff>25855</xdr:rowOff>
    </xdr:from>
    <xdr:to>
      <xdr:col>4</xdr:col>
      <xdr:colOff>789084</xdr:colOff>
      <xdr:row>21</xdr:row>
      <xdr:rowOff>177945</xdr:rowOff>
    </xdr:to>
    <xdr:sp macro="" textlink="$CA$2">
      <xdr:nvSpPr>
        <xdr:cNvPr id="874" name="Retângulo 873">
          <a:extLst>
            <a:ext uri="{FF2B5EF4-FFF2-40B4-BE49-F238E27FC236}">
              <a16:creationId xmlns:a16="http://schemas.microsoft.com/office/drawing/2014/main" id="{A519F459-D94C-2511-F53F-41F061580B9D}"/>
            </a:ext>
          </a:extLst>
        </xdr:cNvPr>
        <xdr:cNvSpPr/>
      </xdr:nvSpPr>
      <xdr:spPr>
        <a:xfrm>
          <a:off x="3987428" y="4833179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AFEA531-1DB5-46CD-BA62-9A316A2864F5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1016892</xdr:colOff>
      <xdr:row>22</xdr:row>
      <xdr:rowOff>725</xdr:rowOff>
    </xdr:from>
    <xdr:to>
      <xdr:col>4</xdr:col>
      <xdr:colOff>137003</xdr:colOff>
      <xdr:row>22</xdr:row>
      <xdr:rowOff>152815</xdr:rowOff>
    </xdr:to>
    <xdr:sp macro="" textlink="">
      <xdr:nvSpPr>
        <xdr:cNvPr id="875" name="Retângulo 874">
          <a:extLst>
            <a:ext uri="{FF2B5EF4-FFF2-40B4-BE49-F238E27FC236}">
              <a16:creationId xmlns:a16="http://schemas.microsoft.com/office/drawing/2014/main" id="{DCE2679E-8143-DD15-A7F8-8A47B14A6E3A}"/>
            </a:ext>
          </a:extLst>
        </xdr:cNvPr>
        <xdr:cNvSpPr/>
      </xdr:nvSpPr>
      <xdr:spPr>
        <a:xfrm>
          <a:off x="3336510" y="4998549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87</a:t>
          </a:r>
        </a:p>
      </xdr:txBody>
    </xdr:sp>
    <xdr:clientData/>
  </xdr:twoCellAnchor>
  <xdr:twoCellAnchor>
    <xdr:from>
      <xdr:col>4</xdr:col>
      <xdr:colOff>164497</xdr:colOff>
      <xdr:row>21</xdr:row>
      <xdr:rowOff>185290</xdr:rowOff>
    </xdr:from>
    <xdr:to>
      <xdr:col>4</xdr:col>
      <xdr:colOff>461225</xdr:colOff>
      <xdr:row>22</xdr:row>
      <xdr:rowOff>146880</xdr:rowOff>
    </xdr:to>
    <xdr:sp macro="" textlink="$CB$3">
      <xdr:nvSpPr>
        <xdr:cNvPr id="876" name="Retângulo 875">
          <a:extLst>
            <a:ext uri="{FF2B5EF4-FFF2-40B4-BE49-F238E27FC236}">
              <a16:creationId xmlns:a16="http://schemas.microsoft.com/office/drawing/2014/main" id="{EAB6272E-E577-4EDF-506B-8B79EBBFD506}"/>
            </a:ext>
          </a:extLst>
        </xdr:cNvPr>
        <xdr:cNvSpPr/>
      </xdr:nvSpPr>
      <xdr:spPr>
        <a:xfrm>
          <a:off x="3660732" y="4992614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BDE0890-0057-456A-B5F6-452031A9BFA5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22</xdr:row>
      <xdr:rowOff>2798</xdr:rowOff>
    </xdr:from>
    <xdr:to>
      <xdr:col>4</xdr:col>
      <xdr:colOff>789084</xdr:colOff>
      <xdr:row>22</xdr:row>
      <xdr:rowOff>154888</xdr:rowOff>
    </xdr:to>
    <xdr:sp macro="" textlink="$CB$2">
      <xdr:nvSpPr>
        <xdr:cNvPr id="877" name="Retângulo 876">
          <a:extLst>
            <a:ext uri="{FF2B5EF4-FFF2-40B4-BE49-F238E27FC236}">
              <a16:creationId xmlns:a16="http://schemas.microsoft.com/office/drawing/2014/main" id="{F5A4B1AC-F0A7-4FA6-ADF7-7AF607145FA6}"/>
            </a:ext>
          </a:extLst>
        </xdr:cNvPr>
        <xdr:cNvSpPr/>
      </xdr:nvSpPr>
      <xdr:spPr>
        <a:xfrm>
          <a:off x="3987428" y="5000622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91F21AC-3B83-4457-8443-583FE27C0BE2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1016894</xdr:colOff>
      <xdr:row>22</xdr:row>
      <xdr:rowOff>166213</xdr:rowOff>
    </xdr:from>
    <xdr:to>
      <xdr:col>4</xdr:col>
      <xdr:colOff>137005</xdr:colOff>
      <xdr:row>23</xdr:row>
      <xdr:rowOff>127803</xdr:rowOff>
    </xdr:to>
    <xdr:sp macro="" textlink="">
      <xdr:nvSpPr>
        <xdr:cNvPr id="878" name="Retângulo 877">
          <a:extLst>
            <a:ext uri="{FF2B5EF4-FFF2-40B4-BE49-F238E27FC236}">
              <a16:creationId xmlns:a16="http://schemas.microsoft.com/office/drawing/2014/main" id="{33E0C3E7-C1E3-8811-67F2-BE7D0F288689}"/>
            </a:ext>
          </a:extLst>
        </xdr:cNvPr>
        <xdr:cNvSpPr/>
      </xdr:nvSpPr>
      <xdr:spPr>
        <a:xfrm>
          <a:off x="3336512" y="5164037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88</a:t>
          </a:r>
        </a:p>
      </xdr:txBody>
    </xdr:sp>
    <xdr:clientData/>
  </xdr:twoCellAnchor>
  <xdr:twoCellAnchor>
    <xdr:from>
      <xdr:col>4</xdr:col>
      <xdr:colOff>164497</xdr:colOff>
      <xdr:row>22</xdr:row>
      <xdr:rowOff>162660</xdr:rowOff>
    </xdr:from>
    <xdr:to>
      <xdr:col>4</xdr:col>
      <xdr:colOff>461225</xdr:colOff>
      <xdr:row>23</xdr:row>
      <xdr:rowOff>124250</xdr:rowOff>
    </xdr:to>
    <xdr:sp macro="" textlink="$W$3">
      <xdr:nvSpPr>
        <xdr:cNvPr id="879" name="Retângulo 878">
          <a:extLst>
            <a:ext uri="{FF2B5EF4-FFF2-40B4-BE49-F238E27FC236}">
              <a16:creationId xmlns:a16="http://schemas.microsoft.com/office/drawing/2014/main" id="{1EDEE6C3-1E5B-FC73-C174-6A5C1FA63D2A}"/>
            </a:ext>
          </a:extLst>
        </xdr:cNvPr>
        <xdr:cNvSpPr/>
      </xdr:nvSpPr>
      <xdr:spPr>
        <a:xfrm>
          <a:off x="3660732" y="5160484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521DD71-6576-4EFF-B572-561A08B3EFCF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22</xdr:row>
      <xdr:rowOff>167860</xdr:rowOff>
    </xdr:from>
    <xdr:to>
      <xdr:col>4</xdr:col>
      <xdr:colOff>789084</xdr:colOff>
      <xdr:row>23</xdr:row>
      <xdr:rowOff>129450</xdr:rowOff>
    </xdr:to>
    <xdr:sp macro="" textlink="$W$2">
      <xdr:nvSpPr>
        <xdr:cNvPr id="880" name="Retângulo 879">
          <a:extLst>
            <a:ext uri="{FF2B5EF4-FFF2-40B4-BE49-F238E27FC236}">
              <a16:creationId xmlns:a16="http://schemas.microsoft.com/office/drawing/2014/main" id="{C3256A51-8436-D6FE-4868-6405E5FD976E}"/>
            </a:ext>
          </a:extLst>
        </xdr:cNvPr>
        <xdr:cNvSpPr/>
      </xdr:nvSpPr>
      <xdr:spPr>
        <a:xfrm>
          <a:off x="3987428" y="5165684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2100818-62DE-45CA-8A74-46D9A55470E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58,2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1016895</xdr:colOff>
      <xdr:row>23</xdr:row>
      <xdr:rowOff>143057</xdr:rowOff>
    </xdr:from>
    <xdr:to>
      <xdr:col>4</xdr:col>
      <xdr:colOff>137006</xdr:colOff>
      <xdr:row>24</xdr:row>
      <xdr:rowOff>104647</xdr:rowOff>
    </xdr:to>
    <xdr:sp macro="" textlink="">
      <xdr:nvSpPr>
        <xdr:cNvPr id="881" name="Retângulo 880">
          <a:extLst>
            <a:ext uri="{FF2B5EF4-FFF2-40B4-BE49-F238E27FC236}">
              <a16:creationId xmlns:a16="http://schemas.microsoft.com/office/drawing/2014/main" id="{F5C7AB1C-25C1-DFBB-8515-8267C9FA5055}"/>
            </a:ext>
          </a:extLst>
        </xdr:cNvPr>
        <xdr:cNvSpPr/>
      </xdr:nvSpPr>
      <xdr:spPr>
        <a:xfrm>
          <a:off x="3336513" y="5331381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89</a:t>
          </a:r>
        </a:p>
      </xdr:txBody>
    </xdr:sp>
    <xdr:clientData/>
  </xdr:twoCellAnchor>
  <xdr:twoCellAnchor>
    <xdr:from>
      <xdr:col>4</xdr:col>
      <xdr:colOff>164497</xdr:colOff>
      <xdr:row>23</xdr:row>
      <xdr:rowOff>137117</xdr:rowOff>
    </xdr:from>
    <xdr:to>
      <xdr:col>4</xdr:col>
      <xdr:colOff>461225</xdr:colOff>
      <xdr:row>24</xdr:row>
      <xdr:rowOff>98707</xdr:rowOff>
    </xdr:to>
    <xdr:sp macro="" textlink="$CD$3">
      <xdr:nvSpPr>
        <xdr:cNvPr id="882" name="Retângulo 881">
          <a:extLst>
            <a:ext uri="{FF2B5EF4-FFF2-40B4-BE49-F238E27FC236}">
              <a16:creationId xmlns:a16="http://schemas.microsoft.com/office/drawing/2014/main" id="{7D16071D-7B1F-7F5F-5849-2F1898803BD5}"/>
            </a:ext>
          </a:extLst>
        </xdr:cNvPr>
        <xdr:cNvSpPr/>
      </xdr:nvSpPr>
      <xdr:spPr>
        <a:xfrm>
          <a:off x="3660732" y="5325441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A6CDD91-05E7-4AB9-A022-7FE2E771D9C9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23</xdr:row>
      <xdr:rowOff>142418</xdr:rowOff>
    </xdr:from>
    <xdr:to>
      <xdr:col>4</xdr:col>
      <xdr:colOff>789084</xdr:colOff>
      <xdr:row>24</xdr:row>
      <xdr:rowOff>104008</xdr:rowOff>
    </xdr:to>
    <xdr:sp macro="" textlink="$CD$2">
      <xdr:nvSpPr>
        <xdr:cNvPr id="883" name="Retângulo 882">
          <a:extLst>
            <a:ext uri="{FF2B5EF4-FFF2-40B4-BE49-F238E27FC236}">
              <a16:creationId xmlns:a16="http://schemas.microsoft.com/office/drawing/2014/main" id="{8C6BF9CC-E2D2-B330-0096-6775672ABDDB}"/>
            </a:ext>
          </a:extLst>
        </xdr:cNvPr>
        <xdr:cNvSpPr/>
      </xdr:nvSpPr>
      <xdr:spPr>
        <a:xfrm>
          <a:off x="3987428" y="5330742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06DDB24-A4DB-4F68-BDB6-0BEE39BF93F8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1016893</xdr:colOff>
      <xdr:row>24</xdr:row>
      <xdr:rowOff>119891</xdr:rowOff>
    </xdr:from>
    <xdr:to>
      <xdr:col>4</xdr:col>
      <xdr:colOff>137004</xdr:colOff>
      <xdr:row>25</xdr:row>
      <xdr:rowOff>81481</xdr:rowOff>
    </xdr:to>
    <xdr:sp macro="" textlink="">
      <xdr:nvSpPr>
        <xdr:cNvPr id="884" name="Retângulo 883">
          <a:extLst>
            <a:ext uri="{FF2B5EF4-FFF2-40B4-BE49-F238E27FC236}">
              <a16:creationId xmlns:a16="http://schemas.microsoft.com/office/drawing/2014/main" id="{DE4AB91F-C235-138F-3E10-28A8DB6B7420}"/>
            </a:ext>
          </a:extLst>
        </xdr:cNvPr>
        <xdr:cNvSpPr/>
      </xdr:nvSpPr>
      <xdr:spPr>
        <a:xfrm>
          <a:off x="3336511" y="5498715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chemeClr val="lt1"/>
              </a:solidFill>
              <a:latin typeface="+mn-lt"/>
              <a:ea typeface="+mn-ea"/>
              <a:cs typeface="+mn-cs"/>
            </a:rPr>
            <a:t>90</a:t>
          </a:r>
        </a:p>
      </xdr:txBody>
    </xdr:sp>
    <xdr:clientData/>
  </xdr:twoCellAnchor>
  <xdr:twoCellAnchor>
    <xdr:from>
      <xdr:col>4</xdr:col>
      <xdr:colOff>164500</xdr:colOff>
      <xdr:row>24</xdr:row>
      <xdr:rowOff>113955</xdr:rowOff>
    </xdr:from>
    <xdr:to>
      <xdr:col>4</xdr:col>
      <xdr:colOff>461228</xdr:colOff>
      <xdr:row>25</xdr:row>
      <xdr:rowOff>75545</xdr:rowOff>
    </xdr:to>
    <xdr:sp macro="" textlink="$CE$3">
      <xdr:nvSpPr>
        <xdr:cNvPr id="885" name="Retângulo 884">
          <a:extLst>
            <a:ext uri="{FF2B5EF4-FFF2-40B4-BE49-F238E27FC236}">
              <a16:creationId xmlns:a16="http://schemas.microsoft.com/office/drawing/2014/main" id="{DD23CF48-B515-393E-3EA5-7C5601F7502A}"/>
            </a:ext>
          </a:extLst>
        </xdr:cNvPr>
        <xdr:cNvSpPr/>
      </xdr:nvSpPr>
      <xdr:spPr>
        <a:xfrm>
          <a:off x="3660735" y="5492779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FEDB24D-8FBE-4B7E-BA03-71FFAE350DB2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24</xdr:row>
      <xdr:rowOff>118189</xdr:rowOff>
    </xdr:from>
    <xdr:to>
      <xdr:col>4</xdr:col>
      <xdr:colOff>789084</xdr:colOff>
      <xdr:row>25</xdr:row>
      <xdr:rowOff>79779</xdr:rowOff>
    </xdr:to>
    <xdr:sp macro="" textlink="$CE$2">
      <xdr:nvSpPr>
        <xdr:cNvPr id="886" name="Retângulo 885">
          <a:extLst>
            <a:ext uri="{FF2B5EF4-FFF2-40B4-BE49-F238E27FC236}">
              <a16:creationId xmlns:a16="http://schemas.microsoft.com/office/drawing/2014/main" id="{95F835F0-2A92-F36F-5B0B-F87C01DC50E2}"/>
            </a:ext>
          </a:extLst>
        </xdr:cNvPr>
        <xdr:cNvSpPr/>
      </xdr:nvSpPr>
      <xdr:spPr>
        <a:xfrm>
          <a:off x="3987428" y="5497013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3ECCB6C-DCF6-4FEA-BD14-65A6A929E92A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1016893</xdr:colOff>
      <xdr:row>25</xdr:row>
      <xdr:rowOff>94349</xdr:rowOff>
    </xdr:from>
    <xdr:to>
      <xdr:col>4</xdr:col>
      <xdr:colOff>137004</xdr:colOff>
      <xdr:row>26</xdr:row>
      <xdr:rowOff>55939</xdr:rowOff>
    </xdr:to>
    <xdr:sp macro="" textlink="">
      <xdr:nvSpPr>
        <xdr:cNvPr id="887" name="Retângulo 886">
          <a:extLst>
            <a:ext uri="{FF2B5EF4-FFF2-40B4-BE49-F238E27FC236}">
              <a16:creationId xmlns:a16="http://schemas.microsoft.com/office/drawing/2014/main" id="{7FCCCB29-4EFC-71BB-D035-ACE83914A8AE}"/>
            </a:ext>
          </a:extLst>
        </xdr:cNvPr>
        <xdr:cNvSpPr/>
      </xdr:nvSpPr>
      <xdr:spPr>
        <a:xfrm>
          <a:off x="3336511" y="5663673"/>
          <a:ext cx="29672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91</a:t>
          </a:r>
        </a:p>
      </xdr:txBody>
    </xdr:sp>
    <xdr:clientData/>
  </xdr:twoCellAnchor>
  <xdr:twoCellAnchor>
    <xdr:from>
      <xdr:col>4</xdr:col>
      <xdr:colOff>164497</xdr:colOff>
      <xdr:row>25</xdr:row>
      <xdr:rowOff>90793</xdr:rowOff>
    </xdr:from>
    <xdr:to>
      <xdr:col>4</xdr:col>
      <xdr:colOff>461225</xdr:colOff>
      <xdr:row>26</xdr:row>
      <xdr:rowOff>52383</xdr:rowOff>
    </xdr:to>
    <xdr:sp macro="" textlink="$CF$3">
      <xdr:nvSpPr>
        <xdr:cNvPr id="888" name="Retângulo 887">
          <a:extLst>
            <a:ext uri="{FF2B5EF4-FFF2-40B4-BE49-F238E27FC236}">
              <a16:creationId xmlns:a16="http://schemas.microsoft.com/office/drawing/2014/main" id="{D7263895-640D-0955-595D-7ABCF62839B8}"/>
            </a:ext>
          </a:extLst>
        </xdr:cNvPr>
        <xdr:cNvSpPr/>
      </xdr:nvSpPr>
      <xdr:spPr>
        <a:xfrm>
          <a:off x="3660732" y="5660117"/>
          <a:ext cx="29672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5BB4F8D-D7F8-41C8-9A6C-8C4E8201B589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491193</xdr:colOff>
      <xdr:row>25</xdr:row>
      <xdr:rowOff>95133</xdr:rowOff>
    </xdr:from>
    <xdr:to>
      <xdr:col>4</xdr:col>
      <xdr:colOff>789084</xdr:colOff>
      <xdr:row>26</xdr:row>
      <xdr:rowOff>56723</xdr:rowOff>
    </xdr:to>
    <xdr:sp macro="" textlink="$CF$2">
      <xdr:nvSpPr>
        <xdr:cNvPr id="889" name="Retângulo 888">
          <a:extLst>
            <a:ext uri="{FF2B5EF4-FFF2-40B4-BE49-F238E27FC236}">
              <a16:creationId xmlns:a16="http://schemas.microsoft.com/office/drawing/2014/main" id="{4035471C-AADD-867A-56DD-4017CBA93C76}"/>
            </a:ext>
          </a:extLst>
        </xdr:cNvPr>
        <xdr:cNvSpPr/>
      </xdr:nvSpPr>
      <xdr:spPr>
        <a:xfrm>
          <a:off x="3987428" y="5664457"/>
          <a:ext cx="29789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379E06C-0B48-4C7E-8F4E-BB067626A65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13</xdr:row>
      <xdr:rowOff>52708</xdr:rowOff>
    </xdr:from>
    <xdr:to>
      <xdr:col>5</xdr:col>
      <xdr:colOff>397</xdr:colOff>
      <xdr:row>14</xdr:row>
      <xdr:rowOff>14298</xdr:rowOff>
    </xdr:to>
    <xdr:sp macro="" textlink="$BR$5">
      <xdr:nvSpPr>
        <xdr:cNvPr id="890" name="Retângulo 889">
          <a:extLst>
            <a:ext uri="{FF2B5EF4-FFF2-40B4-BE49-F238E27FC236}">
              <a16:creationId xmlns:a16="http://schemas.microsoft.com/office/drawing/2014/main" id="{E7DA70A7-2ECE-BF35-5357-EA16B5882681}"/>
            </a:ext>
          </a:extLst>
        </xdr:cNvPr>
        <xdr:cNvSpPr/>
      </xdr:nvSpPr>
      <xdr:spPr>
        <a:xfrm>
          <a:off x="4310606" y="3336032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C438A8D-90A0-4455-8EB6-D5BEC6DD178E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14</xdr:row>
      <xdr:rowOff>28547</xdr:rowOff>
    </xdr:from>
    <xdr:to>
      <xdr:col>5</xdr:col>
      <xdr:colOff>397</xdr:colOff>
      <xdr:row>14</xdr:row>
      <xdr:rowOff>180637</xdr:rowOff>
    </xdr:to>
    <xdr:sp macro="" textlink="$BS$5">
      <xdr:nvSpPr>
        <xdr:cNvPr id="891" name="Retângulo 890">
          <a:extLst>
            <a:ext uri="{FF2B5EF4-FFF2-40B4-BE49-F238E27FC236}">
              <a16:creationId xmlns:a16="http://schemas.microsoft.com/office/drawing/2014/main" id="{AB4C2D52-67E3-C446-9539-3E3DA20E1B22}"/>
            </a:ext>
          </a:extLst>
        </xdr:cNvPr>
        <xdr:cNvSpPr/>
      </xdr:nvSpPr>
      <xdr:spPr>
        <a:xfrm>
          <a:off x="4310606" y="3502371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29FC473-AB90-4D26-809A-5A0F21442E6B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15</xdr:row>
      <xdr:rowOff>4386</xdr:rowOff>
    </xdr:from>
    <xdr:to>
      <xdr:col>5</xdr:col>
      <xdr:colOff>397</xdr:colOff>
      <xdr:row>15</xdr:row>
      <xdr:rowOff>156476</xdr:rowOff>
    </xdr:to>
    <xdr:sp macro="" textlink="$BT$5">
      <xdr:nvSpPr>
        <xdr:cNvPr id="892" name="Retângulo 891">
          <a:extLst>
            <a:ext uri="{FF2B5EF4-FFF2-40B4-BE49-F238E27FC236}">
              <a16:creationId xmlns:a16="http://schemas.microsoft.com/office/drawing/2014/main" id="{E621961A-D8ED-7CC7-D841-394EA6F96923}"/>
            </a:ext>
          </a:extLst>
        </xdr:cNvPr>
        <xdr:cNvSpPr/>
      </xdr:nvSpPr>
      <xdr:spPr>
        <a:xfrm>
          <a:off x="4310606" y="3668710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F8F6F28A-87E2-4EC7-A23D-C2A1BA1E05BA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15</xdr:row>
      <xdr:rowOff>170725</xdr:rowOff>
    </xdr:from>
    <xdr:to>
      <xdr:col>5</xdr:col>
      <xdr:colOff>397</xdr:colOff>
      <xdr:row>16</xdr:row>
      <xdr:rowOff>132315</xdr:rowOff>
    </xdr:to>
    <xdr:sp macro="" textlink="$BU$5">
      <xdr:nvSpPr>
        <xdr:cNvPr id="893" name="Retângulo 892">
          <a:extLst>
            <a:ext uri="{FF2B5EF4-FFF2-40B4-BE49-F238E27FC236}">
              <a16:creationId xmlns:a16="http://schemas.microsoft.com/office/drawing/2014/main" id="{3656B265-4512-EC70-D018-A7B050488279}"/>
            </a:ext>
          </a:extLst>
        </xdr:cNvPr>
        <xdr:cNvSpPr/>
      </xdr:nvSpPr>
      <xdr:spPr>
        <a:xfrm>
          <a:off x="4310606" y="3835049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7F65741-9D77-4D51-BA41-6EF5AA24A37E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16</xdr:row>
      <xdr:rowOff>146564</xdr:rowOff>
    </xdr:from>
    <xdr:to>
      <xdr:col>5</xdr:col>
      <xdr:colOff>397</xdr:colOff>
      <xdr:row>17</xdr:row>
      <xdr:rowOff>108154</xdr:rowOff>
    </xdr:to>
    <xdr:sp macro="" textlink="$BV$5">
      <xdr:nvSpPr>
        <xdr:cNvPr id="894" name="Retângulo 893">
          <a:extLst>
            <a:ext uri="{FF2B5EF4-FFF2-40B4-BE49-F238E27FC236}">
              <a16:creationId xmlns:a16="http://schemas.microsoft.com/office/drawing/2014/main" id="{A42F7D8E-89AE-53B9-243A-7A465F697CCD}"/>
            </a:ext>
          </a:extLst>
        </xdr:cNvPr>
        <xdr:cNvSpPr/>
      </xdr:nvSpPr>
      <xdr:spPr>
        <a:xfrm>
          <a:off x="4310606" y="4001388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8182872-D59B-45ED-82B0-16C716CDDE56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17</xdr:row>
      <xdr:rowOff>124210</xdr:rowOff>
    </xdr:from>
    <xdr:to>
      <xdr:col>5</xdr:col>
      <xdr:colOff>397</xdr:colOff>
      <xdr:row>18</xdr:row>
      <xdr:rowOff>85800</xdr:rowOff>
    </xdr:to>
    <xdr:sp macro="" textlink="$BW$5">
      <xdr:nvSpPr>
        <xdr:cNvPr id="895" name="Retângulo 894">
          <a:extLst>
            <a:ext uri="{FF2B5EF4-FFF2-40B4-BE49-F238E27FC236}">
              <a16:creationId xmlns:a16="http://schemas.microsoft.com/office/drawing/2014/main" id="{CE20150F-C7CA-E354-F3BB-7A9E2E161383}"/>
            </a:ext>
          </a:extLst>
        </xdr:cNvPr>
        <xdr:cNvSpPr/>
      </xdr:nvSpPr>
      <xdr:spPr>
        <a:xfrm>
          <a:off x="4310606" y="4169534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813B8EE-4AA2-4F4F-AD7F-A591B553D405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18</xdr:row>
      <xdr:rowOff>99475</xdr:rowOff>
    </xdr:from>
    <xdr:to>
      <xdr:col>5</xdr:col>
      <xdr:colOff>397</xdr:colOff>
      <xdr:row>19</xdr:row>
      <xdr:rowOff>61065</xdr:rowOff>
    </xdr:to>
    <xdr:sp macro="" textlink="$BX$5">
      <xdr:nvSpPr>
        <xdr:cNvPr id="896" name="Retângulo 895">
          <a:extLst>
            <a:ext uri="{FF2B5EF4-FFF2-40B4-BE49-F238E27FC236}">
              <a16:creationId xmlns:a16="http://schemas.microsoft.com/office/drawing/2014/main" id="{21309708-5EA9-3FE4-21AF-A2B56650EDDF}"/>
            </a:ext>
          </a:extLst>
        </xdr:cNvPr>
        <xdr:cNvSpPr/>
      </xdr:nvSpPr>
      <xdr:spPr>
        <a:xfrm>
          <a:off x="4310606" y="4335299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378715E-5D62-467B-BA86-76737542C9FA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814375</xdr:colOff>
      <xdr:row>19</xdr:row>
      <xdr:rowOff>76456</xdr:rowOff>
    </xdr:from>
    <xdr:to>
      <xdr:col>5</xdr:col>
      <xdr:colOff>401</xdr:colOff>
      <xdr:row>20</xdr:row>
      <xdr:rowOff>38046</xdr:rowOff>
    </xdr:to>
    <xdr:sp macro="" textlink="$BY$5">
      <xdr:nvSpPr>
        <xdr:cNvPr id="897" name="Retângulo 896">
          <a:extLst>
            <a:ext uri="{FF2B5EF4-FFF2-40B4-BE49-F238E27FC236}">
              <a16:creationId xmlns:a16="http://schemas.microsoft.com/office/drawing/2014/main" id="{6E9FC770-1E7A-66CF-CC7B-CB5D7149197A}"/>
            </a:ext>
          </a:extLst>
        </xdr:cNvPr>
        <xdr:cNvSpPr/>
      </xdr:nvSpPr>
      <xdr:spPr>
        <a:xfrm>
          <a:off x="4310610" y="4502780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A31DFA3-5C6A-49D0-97BB-CC5B16C868E6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20</xdr:row>
      <xdr:rowOff>52301</xdr:rowOff>
    </xdr:from>
    <xdr:to>
      <xdr:col>5</xdr:col>
      <xdr:colOff>397</xdr:colOff>
      <xdr:row>21</xdr:row>
      <xdr:rowOff>13891</xdr:rowOff>
    </xdr:to>
    <xdr:sp macro="" textlink="$BZ$5">
      <xdr:nvSpPr>
        <xdr:cNvPr id="898" name="Retângulo 897">
          <a:extLst>
            <a:ext uri="{FF2B5EF4-FFF2-40B4-BE49-F238E27FC236}">
              <a16:creationId xmlns:a16="http://schemas.microsoft.com/office/drawing/2014/main" id="{EC993DF0-C5AB-D2B1-4491-C82CF9C1052D}"/>
            </a:ext>
          </a:extLst>
        </xdr:cNvPr>
        <xdr:cNvSpPr/>
      </xdr:nvSpPr>
      <xdr:spPr>
        <a:xfrm>
          <a:off x="4310606" y="4669125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55E7EAD-5AAD-42D8-9227-1B179CEE3A18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21</xdr:row>
      <xdr:rowOff>28140</xdr:rowOff>
    </xdr:from>
    <xdr:to>
      <xdr:col>5</xdr:col>
      <xdr:colOff>397</xdr:colOff>
      <xdr:row>21</xdr:row>
      <xdr:rowOff>180230</xdr:rowOff>
    </xdr:to>
    <xdr:sp macro="" textlink="$CA$5">
      <xdr:nvSpPr>
        <xdr:cNvPr id="899" name="Retângulo 898">
          <a:extLst>
            <a:ext uri="{FF2B5EF4-FFF2-40B4-BE49-F238E27FC236}">
              <a16:creationId xmlns:a16="http://schemas.microsoft.com/office/drawing/2014/main" id="{8A93E6A9-BD56-AC64-A61E-C51E7E94598A}"/>
            </a:ext>
          </a:extLst>
        </xdr:cNvPr>
        <xdr:cNvSpPr/>
      </xdr:nvSpPr>
      <xdr:spPr>
        <a:xfrm>
          <a:off x="4310606" y="4835464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B4B2D7D-0B0D-4281-A145-862FE0F17256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22</xdr:row>
      <xdr:rowOff>3954</xdr:rowOff>
    </xdr:from>
    <xdr:to>
      <xdr:col>5</xdr:col>
      <xdr:colOff>397</xdr:colOff>
      <xdr:row>22</xdr:row>
      <xdr:rowOff>156044</xdr:rowOff>
    </xdr:to>
    <xdr:sp macro="" textlink="$CB$5">
      <xdr:nvSpPr>
        <xdr:cNvPr id="900" name="Retângulo 899">
          <a:extLst>
            <a:ext uri="{FF2B5EF4-FFF2-40B4-BE49-F238E27FC236}">
              <a16:creationId xmlns:a16="http://schemas.microsoft.com/office/drawing/2014/main" id="{E12164F1-2095-E2EB-0B63-BAE8245CB5F6}"/>
            </a:ext>
          </a:extLst>
        </xdr:cNvPr>
        <xdr:cNvSpPr/>
      </xdr:nvSpPr>
      <xdr:spPr>
        <a:xfrm>
          <a:off x="4310606" y="5001778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B212F1B-B675-4057-91AC-DF72080468D6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22</xdr:row>
      <xdr:rowOff>170274</xdr:rowOff>
    </xdr:from>
    <xdr:to>
      <xdr:col>5</xdr:col>
      <xdr:colOff>397</xdr:colOff>
      <xdr:row>23</xdr:row>
      <xdr:rowOff>131864</xdr:rowOff>
    </xdr:to>
    <xdr:sp macro="" textlink="$W$5">
      <xdr:nvSpPr>
        <xdr:cNvPr id="901" name="Retângulo 900">
          <a:extLst>
            <a:ext uri="{FF2B5EF4-FFF2-40B4-BE49-F238E27FC236}">
              <a16:creationId xmlns:a16="http://schemas.microsoft.com/office/drawing/2014/main" id="{EA134034-D372-1378-7AD7-414146F5295C}"/>
            </a:ext>
          </a:extLst>
        </xdr:cNvPr>
        <xdr:cNvSpPr/>
      </xdr:nvSpPr>
      <xdr:spPr>
        <a:xfrm>
          <a:off x="4310606" y="5168098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A9DB9F6-4021-417B-8B2D-89EAC6621A02}" type="TxLink">
            <a:rPr lang="en-US" sz="9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23</xdr:row>
      <xdr:rowOff>146096</xdr:rowOff>
    </xdr:from>
    <xdr:to>
      <xdr:col>5</xdr:col>
      <xdr:colOff>397</xdr:colOff>
      <xdr:row>24</xdr:row>
      <xdr:rowOff>107686</xdr:rowOff>
    </xdr:to>
    <xdr:sp macro="" textlink="$CD$5">
      <xdr:nvSpPr>
        <xdr:cNvPr id="902" name="Retângulo 901">
          <a:extLst>
            <a:ext uri="{FF2B5EF4-FFF2-40B4-BE49-F238E27FC236}">
              <a16:creationId xmlns:a16="http://schemas.microsoft.com/office/drawing/2014/main" id="{D2B04863-6D45-73BE-24E7-D174D5C09706}"/>
            </a:ext>
          </a:extLst>
        </xdr:cNvPr>
        <xdr:cNvSpPr/>
      </xdr:nvSpPr>
      <xdr:spPr>
        <a:xfrm>
          <a:off x="4310606" y="5334420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CA7B3B8-C444-4ABA-81C1-6E235A926872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24</xdr:row>
      <xdr:rowOff>121909</xdr:rowOff>
    </xdr:from>
    <xdr:to>
      <xdr:col>5</xdr:col>
      <xdr:colOff>397</xdr:colOff>
      <xdr:row>25</xdr:row>
      <xdr:rowOff>83499</xdr:rowOff>
    </xdr:to>
    <xdr:sp macro="" textlink="$CE$5">
      <xdr:nvSpPr>
        <xdr:cNvPr id="903" name="Retângulo 902">
          <a:extLst>
            <a:ext uri="{FF2B5EF4-FFF2-40B4-BE49-F238E27FC236}">
              <a16:creationId xmlns:a16="http://schemas.microsoft.com/office/drawing/2014/main" id="{E7F63FA3-AFE5-BDD0-FBA5-0FE442EAEB13}"/>
            </a:ext>
          </a:extLst>
        </xdr:cNvPr>
        <xdr:cNvSpPr/>
      </xdr:nvSpPr>
      <xdr:spPr>
        <a:xfrm>
          <a:off x="4310606" y="5500733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C9CD2CE-3CC9-491B-8214-64750F370294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814371</xdr:colOff>
      <xdr:row>25</xdr:row>
      <xdr:rowOff>97727</xdr:rowOff>
    </xdr:from>
    <xdr:to>
      <xdr:col>5</xdr:col>
      <xdr:colOff>397</xdr:colOff>
      <xdr:row>26</xdr:row>
      <xdr:rowOff>59317</xdr:rowOff>
    </xdr:to>
    <xdr:sp macro="" textlink="$CF$5">
      <xdr:nvSpPr>
        <xdr:cNvPr id="904" name="Retângulo 903">
          <a:extLst>
            <a:ext uri="{FF2B5EF4-FFF2-40B4-BE49-F238E27FC236}">
              <a16:creationId xmlns:a16="http://schemas.microsoft.com/office/drawing/2014/main" id="{7C546369-5859-AB9B-EDD8-B5F17F551D88}"/>
            </a:ext>
          </a:extLst>
        </xdr:cNvPr>
        <xdr:cNvSpPr/>
      </xdr:nvSpPr>
      <xdr:spPr>
        <a:xfrm>
          <a:off x="4310606" y="5667051"/>
          <a:ext cx="29540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8735C6E-2A5E-490C-8F24-4C2FDFAC8A28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1019379</xdr:colOff>
      <xdr:row>12</xdr:row>
      <xdr:rowOff>73967</xdr:rowOff>
    </xdr:from>
    <xdr:to>
      <xdr:col>4</xdr:col>
      <xdr:colOff>138826</xdr:colOff>
      <xdr:row>13</xdr:row>
      <xdr:rowOff>35557</xdr:rowOff>
    </xdr:to>
    <xdr:sp macro="" textlink="">
      <xdr:nvSpPr>
        <xdr:cNvPr id="905" name="Retângulo 904">
          <a:extLst>
            <a:ext uri="{FF2B5EF4-FFF2-40B4-BE49-F238E27FC236}">
              <a16:creationId xmlns:a16="http://schemas.microsoft.com/office/drawing/2014/main" id="{6EB0B5D0-AA86-7543-CDD8-A8F03705F9EF}"/>
            </a:ext>
          </a:extLst>
        </xdr:cNvPr>
        <xdr:cNvSpPr/>
      </xdr:nvSpPr>
      <xdr:spPr>
        <a:xfrm>
          <a:off x="3338997" y="3166791"/>
          <a:ext cx="296064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76</a:t>
          </a:r>
        </a:p>
      </xdr:txBody>
    </xdr:sp>
    <xdr:clientData/>
  </xdr:twoCellAnchor>
  <xdr:twoCellAnchor>
    <xdr:from>
      <xdr:col>4</xdr:col>
      <xdr:colOff>163848</xdr:colOff>
      <xdr:row>12</xdr:row>
      <xdr:rowOff>72798</xdr:rowOff>
    </xdr:from>
    <xdr:to>
      <xdr:col>4</xdr:col>
      <xdr:colOff>459912</xdr:colOff>
      <xdr:row>13</xdr:row>
      <xdr:rowOff>34388</xdr:rowOff>
    </xdr:to>
    <xdr:sp macro="" textlink="$BQ$3">
      <xdr:nvSpPr>
        <xdr:cNvPr id="906" name="Retângulo 905">
          <a:extLst>
            <a:ext uri="{FF2B5EF4-FFF2-40B4-BE49-F238E27FC236}">
              <a16:creationId xmlns:a16="http://schemas.microsoft.com/office/drawing/2014/main" id="{ACC975E7-CBF6-438B-4419-717DE6FBB0A2}"/>
            </a:ext>
          </a:extLst>
        </xdr:cNvPr>
        <xdr:cNvSpPr/>
      </xdr:nvSpPr>
      <xdr:spPr>
        <a:xfrm>
          <a:off x="3660083" y="3165622"/>
          <a:ext cx="29606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A46288D-7ED9-4D3C-BB69-6DBF3C4B5E32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492177</xdr:colOff>
      <xdr:row>12</xdr:row>
      <xdr:rowOff>73972</xdr:rowOff>
    </xdr:from>
    <xdr:to>
      <xdr:col>4</xdr:col>
      <xdr:colOff>784264</xdr:colOff>
      <xdr:row>13</xdr:row>
      <xdr:rowOff>35562</xdr:rowOff>
    </xdr:to>
    <xdr:sp macro="" textlink="$BQ$2">
      <xdr:nvSpPr>
        <xdr:cNvPr id="907" name="Retângulo 906">
          <a:extLst>
            <a:ext uri="{FF2B5EF4-FFF2-40B4-BE49-F238E27FC236}">
              <a16:creationId xmlns:a16="http://schemas.microsoft.com/office/drawing/2014/main" id="{98A1CB44-CA59-CD1D-36D5-4FC53FFEE849}"/>
            </a:ext>
          </a:extLst>
        </xdr:cNvPr>
        <xdr:cNvSpPr/>
      </xdr:nvSpPr>
      <xdr:spPr>
        <a:xfrm>
          <a:off x="3988412" y="3166796"/>
          <a:ext cx="292087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2B71CF9-3540-48C2-BFC4-8455EC4ACC83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816305</xdr:colOff>
      <xdr:row>12</xdr:row>
      <xdr:rowOff>76159</xdr:rowOff>
    </xdr:from>
    <xdr:to>
      <xdr:col>5</xdr:col>
      <xdr:colOff>1668</xdr:colOff>
      <xdr:row>13</xdr:row>
      <xdr:rowOff>37749</xdr:rowOff>
    </xdr:to>
    <xdr:sp macro="" textlink="$BQ$5">
      <xdr:nvSpPr>
        <xdr:cNvPr id="908" name="Retângulo 907">
          <a:extLst>
            <a:ext uri="{FF2B5EF4-FFF2-40B4-BE49-F238E27FC236}">
              <a16:creationId xmlns:a16="http://schemas.microsoft.com/office/drawing/2014/main" id="{10DCF69B-DB61-C28C-E8F2-266216DEE798}"/>
            </a:ext>
          </a:extLst>
        </xdr:cNvPr>
        <xdr:cNvSpPr/>
      </xdr:nvSpPr>
      <xdr:spPr>
        <a:xfrm>
          <a:off x="4312540" y="3168983"/>
          <a:ext cx="294746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04CF2AA-BBB7-4E31-AF6F-DF03095AF4A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1016896</xdr:colOff>
      <xdr:row>11</xdr:row>
      <xdr:rowOff>98510</xdr:rowOff>
    </xdr:from>
    <xdr:to>
      <xdr:col>4</xdr:col>
      <xdr:colOff>136343</xdr:colOff>
      <xdr:row>12</xdr:row>
      <xdr:rowOff>60100</xdr:rowOff>
    </xdr:to>
    <xdr:sp macro="" textlink="">
      <xdr:nvSpPr>
        <xdr:cNvPr id="909" name="Retângulo 908">
          <a:extLst>
            <a:ext uri="{FF2B5EF4-FFF2-40B4-BE49-F238E27FC236}">
              <a16:creationId xmlns:a16="http://schemas.microsoft.com/office/drawing/2014/main" id="{D12578FF-DA92-65EA-90B9-3D9B0071E7F5}"/>
            </a:ext>
          </a:extLst>
        </xdr:cNvPr>
        <xdr:cNvSpPr/>
      </xdr:nvSpPr>
      <xdr:spPr>
        <a:xfrm>
          <a:off x="3336514" y="3000834"/>
          <a:ext cx="296064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75</a:t>
          </a:r>
        </a:p>
      </xdr:txBody>
    </xdr:sp>
    <xdr:clientData/>
  </xdr:twoCellAnchor>
  <xdr:twoCellAnchor>
    <xdr:from>
      <xdr:col>4</xdr:col>
      <xdr:colOff>163747</xdr:colOff>
      <xdr:row>11</xdr:row>
      <xdr:rowOff>98504</xdr:rowOff>
    </xdr:from>
    <xdr:to>
      <xdr:col>4</xdr:col>
      <xdr:colOff>459811</xdr:colOff>
      <xdr:row>12</xdr:row>
      <xdr:rowOff>60094</xdr:rowOff>
    </xdr:to>
    <xdr:sp macro="" textlink="$BP$3">
      <xdr:nvSpPr>
        <xdr:cNvPr id="910" name="Retângulo 909">
          <a:extLst>
            <a:ext uri="{FF2B5EF4-FFF2-40B4-BE49-F238E27FC236}">
              <a16:creationId xmlns:a16="http://schemas.microsoft.com/office/drawing/2014/main" id="{C1E3D37E-6F53-B1EC-EB48-F681B4F18E10}"/>
            </a:ext>
          </a:extLst>
        </xdr:cNvPr>
        <xdr:cNvSpPr/>
      </xdr:nvSpPr>
      <xdr:spPr>
        <a:xfrm>
          <a:off x="3659982" y="3000828"/>
          <a:ext cx="29606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13637BC3-92F8-4831-BB56-2ED83CB2E94E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490907</xdr:colOff>
      <xdr:row>11</xdr:row>
      <xdr:rowOff>98504</xdr:rowOff>
    </xdr:from>
    <xdr:to>
      <xdr:col>4</xdr:col>
      <xdr:colOff>781881</xdr:colOff>
      <xdr:row>12</xdr:row>
      <xdr:rowOff>60094</xdr:rowOff>
    </xdr:to>
    <xdr:sp macro="" textlink="$BP$2">
      <xdr:nvSpPr>
        <xdr:cNvPr id="911" name="Retângulo 910">
          <a:extLst>
            <a:ext uri="{FF2B5EF4-FFF2-40B4-BE49-F238E27FC236}">
              <a16:creationId xmlns:a16="http://schemas.microsoft.com/office/drawing/2014/main" id="{E3489022-EE8B-7BB2-C8E1-287B3BE0FBE8}"/>
            </a:ext>
          </a:extLst>
        </xdr:cNvPr>
        <xdr:cNvSpPr/>
      </xdr:nvSpPr>
      <xdr:spPr>
        <a:xfrm>
          <a:off x="3987142" y="3000828"/>
          <a:ext cx="29097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F8793B27-F8E2-428F-A7D5-BB63C0AD6DB7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815035</xdr:colOff>
      <xdr:row>11</xdr:row>
      <xdr:rowOff>100165</xdr:rowOff>
    </xdr:from>
    <xdr:to>
      <xdr:col>5</xdr:col>
      <xdr:colOff>398</xdr:colOff>
      <xdr:row>12</xdr:row>
      <xdr:rowOff>61755</xdr:rowOff>
    </xdr:to>
    <xdr:sp macro="" textlink="$BP$5">
      <xdr:nvSpPr>
        <xdr:cNvPr id="912" name="Retângulo 911">
          <a:extLst>
            <a:ext uri="{FF2B5EF4-FFF2-40B4-BE49-F238E27FC236}">
              <a16:creationId xmlns:a16="http://schemas.microsoft.com/office/drawing/2014/main" id="{708D3C91-75B9-02EC-D4B4-3A55EA439088}"/>
            </a:ext>
          </a:extLst>
        </xdr:cNvPr>
        <xdr:cNvSpPr/>
      </xdr:nvSpPr>
      <xdr:spPr>
        <a:xfrm>
          <a:off x="4311270" y="3002489"/>
          <a:ext cx="294746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0832035-9149-4B99-98E7-1F44A83E7978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1018269</xdr:colOff>
      <xdr:row>10</xdr:row>
      <xdr:rowOff>122637</xdr:rowOff>
    </xdr:from>
    <xdr:to>
      <xdr:col>4</xdr:col>
      <xdr:colOff>137716</xdr:colOff>
      <xdr:row>11</xdr:row>
      <xdr:rowOff>84227</xdr:rowOff>
    </xdr:to>
    <xdr:sp macro="" textlink="">
      <xdr:nvSpPr>
        <xdr:cNvPr id="913" name="Retângulo 912">
          <a:extLst>
            <a:ext uri="{FF2B5EF4-FFF2-40B4-BE49-F238E27FC236}">
              <a16:creationId xmlns:a16="http://schemas.microsoft.com/office/drawing/2014/main" id="{7AD00E96-27A4-C46E-0CCA-CFCD8EE106CC}"/>
            </a:ext>
          </a:extLst>
        </xdr:cNvPr>
        <xdr:cNvSpPr/>
      </xdr:nvSpPr>
      <xdr:spPr>
        <a:xfrm>
          <a:off x="3337887" y="2834461"/>
          <a:ext cx="296064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74</a:t>
          </a:r>
        </a:p>
      </xdr:txBody>
    </xdr:sp>
    <xdr:clientData/>
  </xdr:twoCellAnchor>
  <xdr:twoCellAnchor>
    <xdr:from>
      <xdr:col>4</xdr:col>
      <xdr:colOff>165119</xdr:colOff>
      <xdr:row>10</xdr:row>
      <xdr:rowOff>122638</xdr:rowOff>
    </xdr:from>
    <xdr:to>
      <xdr:col>4</xdr:col>
      <xdr:colOff>461183</xdr:colOff>
      <xdr:row>11</xdr:row>
      <xdr:rowOff>84228</xdr:rowOff>
    </xdr:to>
    <xdr:sp macro="" textlink="$BO$3">
      <xdr:nvSpPr>
        <xdr:cNvPr id="914" name="Retângulo 913">
          <a:extLst>
            <a:ext uri="{FF2B5EF4-FFF2-40B4-BE49-F238E27FC236}">
              <a16:creationId xmlns:a16="http://schemas.microsoft.com/office/drawing/2014/main" id="{EF9E65A9-4CF0-2997-9972-6638216351B4}"/>
            </a:ext>
          </a:extLst>
        </xdr:cNvPr>
        <xdr:cNvSpPr/>
      </xdr:nvSpPr>
      <xdr:spPr>
        <a:xfrm>
          <a:off x="3661354" y="2834462"/>
          <a:ext cx="29606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130E64C-F4CA-4F99-AA8E-19082F97EE79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491064</xdr:colOff>
      <xdr:row>10</xdr:row>
      <xdr:rowOff>122638</xdr:rowOff>
    </xdr:from>
    <xdr:to>
      <xdr:col>4</xdr:col>
      <xdr:colOff>783818</xdr:colOff>
      <xdr:row>11</xdr:row>
      <xdr:rowOff>84228</xdr:rowOff>
    </xdr:to>
    <xdr:sp macro="" textlink="$BO$2">
      <xdr:nvSpPr>
        <xdr:cNvPr id="915" name="Retângulo 914">
          <a:extLst>
            <a:ext uri="{FF2B5EF4-FFF2-40B4-BE49-F238E27FC236}">
              <a16:creationId xmlns:a16="http://schemas.microsoft.com/office/drawing/2014/main" id="{A78B3D35-2D99-30C7-26C9-5F64681EC361}"/>
            </a:ext>
          </a:extLst>
        </xdr:cNvPr>
        <xdr:cNvSpPr/>
      </xdr:nvSpPr>
      <xdr:spPr>
        <a:xfrm>
          <a:off x="3987299" y="2834462"/>
          <a:ext cx="29275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F345958-2024-406C-8A1F-B141358C1CD6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815193</xdr:colOff>
      <xdr:row>10</xdr:row>
      <xdr:rowOff>123620</xdr:rowOff>
    </xdr:from>
    <xdr:to>
      <xdr:col>5</xdr:col>
      <xdr:colOff>556</xdr:colOff>
      <xdr:row>11</xdr:row>
      <xdr:rowOff>85210</xdr:rowOff>
    </xdr:to>
    <xdr:sp macro="" textlink="$BO$5">
      <xdr:nvSpPr>
        <xdr:cNvPr id="916" name="Retângulo 915">
          <a:extLst>
            <a:ext uri="{FF2B5EF4-FFF2-40B4-BE49-F238E27FC236}">
              <a16:creationId xmlns:a16="http://schemas.microsoft.com/office/drawing/2014/main" id="{19726022-2989-BDD9-0269-B93DFC7CC56A}"/>
            </a:ext>
          </a:extLst>
        </xdr:cNvPr>
        <xdr:cNvSpPr/>
      </xdr:nvSpPr>
      <xdr:spPr>
        <a:xfrm>
          <a:off x="4311428" y="2835444"/>
          <a:ext cx="294746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FBCA36B2-68FF-40D0-A0F5-1FDAFEDDDA36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1018267</xdr:colOff>
      <xdr:row>9</xdr:row>
      <xdr:rowOff>215627</xdr:rowOff>
    </xdr:from>
    <xdr:to>
      <xdr:col>4</xdr:col>
      <xdr:colOff>137714</xdr:colOff>
      <xdr:row>10</xdr:row>
      <xdr:rowOff>108363</xdr:rowOff>
    </xdr:to>
    <xdr:sp macro="" textlink="">
      <xdr:nvSpPr>
        <xdr:cNvPr id="917" name="Retângulo 916">
          <a:extLst>
            <a:ext uri="{FF2B5EF4-FFF2-40B4-BE49-F238E27FC236}">
              <a16:creationId xmlns:a16="http://schemas.microsoft.com/office/drawing/2014/main" id="{1A45F956-90F4-31FD-3437-E2A37CFD7530}"/>
            </a:ext>
          </a:extLst>
        </xdr:cNvPr>
        <xdr:cNvSpPr/>
      </xdr:nvSpPr>
      <xdr:spPr>
        <a:xfrm>
          <a:off x="3337885" y="2669715"/>
          <a:ext cx="296064" cy="150472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73</a:t>
          </a:r>
        </a:p>
      </xdr:txBody>
    </xdr:sp>
    <xdr:clientData/>
  </xdr:twoCellAnchor>
  <xdr:twoCellAnchor>
    <xdr:from>
      <xdr:col>4</xdr:col>
      <xdr:colOff>165120</xdr:colOff>
      <xdr:row>9</xdr:row>
      <xdr:rowOff>215627</xdr:rowOff>
    </xdr:from>
    <xdr:to>
      <xdr:col>4</xdr:col>
      <xdr:colOff>461184</xdr:colOff>
      <xdr:row>10</xdr:row>
      <xdr:rowOff>108363</xdr:rowOff>
    </xdr:to>
    <xdr:sp macro="" textlink="$BN$3">
      <xdr:nvSpPr>
        <xdr:cNvPr id="918" name="Retângulo 917">
          <a:extLst>
            <a:ext uri="{FF2B5EF4-FFF2-40B4-BE49-F238E27FC236}">
              <a16:creationId xmlns:a16="http://schemas.microsoft.com/office/drawing/2014/main" id="{6003A406-16A1-937F-4BA3-DB6AD4A6D505}"/>
            </a:ext>
          </a:extLst>
        </xdr:cNvPr>
        <xdr:cNvSpPr/>
      </xdr:nvSpPr>
      <xdr:spPr>
        <a:xfrm>
          <a:off x="3661355" y="2669715"/>
          <a:ext cx="296064" cy="1504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339AA83-96B3-45D2-B767-FD9057812BFA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491066</xdr:colOff>
      <xdr:row>9</xdr:row>
      <xdr:rowOff>215623</xdr:rowOff>
    </xdr:from>
    <xdr:to>
      <xdr:col>4</xdr:col>
      <xdr:colOff>783820</xdr:colOff>
      <xdr:row>10</xdr:row>
      <xdr:rowOff>108359</xdr:rowOff>
    </xdr:to>
    <xdr:sp macro="" textlink="$BN$2">
      <xdr:nvSpPr>
        <xdr:cNvPr id="919" name="Retângulo 918">
          <a:extLst>
            <a:ext uri="{FF2B5EF4-FFF2-40B4-BE49-F238E27FC236}">
              <a16:creationId xmlns:a16="http://schemas.microsoft.com/office/drawing/2014/main" id="{A7491F52-250F-5ABF-1C32-3B7432B31FF9}"/>
            </a:ext>
          </a:extLst>
        </xdr:cNvPr>
        <xdr:cNvSpPr/>
      </xdr:nvSpPr>
      <xdr:spPr>
        <a:xfrm>
          <a:off x="3987301" y="2669711"/>
          <a:ext cx="292754" cy="1504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F86E0B8-BA25-4D50-A400-D188A55A7404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63,9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815254</xdr:colOff>
      <xdr:row>9</xdr:row>
      <xdr:rowOff>215631</xdr:rowOff>
    </xdr:from>
    <xdr:to>
      <xdr:col>5</xdr:col>
      <xdr:colOff>4193</xdr:colOff>
      <xdr:row>10</xdr:row>
      <xdr:rowOff>108367</xdr:rowOff>
    </xdr:to>
    <xdr:sp macro="" textlink="$BN$5">
      <xdr:nvSpPr>
        <xdr:cNvPr id="920" name="Retângulo 919">
          <a:extLst>
            <a:ext uri="{FF2B5EF4-FFF2-40B4-BE49-F238E27FC236}">
              <a16:creationId xmlns:a16="http://schemas.microsoft.com/office/drawing/2014/main" id="{5A6EBAAD-146C-9A97-7CA9-30DA4C8FC654}"/>
            </a:ext>
          </a:extLst>
        </xdr:cNvPr>
        <xdr:cNvSpPr/>
      </xdr:nvSpPr>
      <xdr:spPr>
        <a:xfrm>
          <a:off x="4311489" y="2669719"/>
          <a:ext cx="298322" cy="1504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6E849D4-D90B-4AAC-BAC1-F6E9DABF65EE}" type="TxLink">
            <a:rPr lang="en-US" sz="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pt-BR" sz="5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1016168</xdr:colOff>
      <xdr:row>31</xdr:row>
      <xdr:rowOff>113866</xdr:rowOff>
    </xdr:from>
    <xdr:to>
      <xdr:col>4</xdr:col>
      <xdr:colOff>133189</xdr:colOff>
      <xdr:row>32</xdr:row>
      <xdr:rowOff>75456</xdr:rowOff>
    </xdr:to>
    <xdr:sp macro="" textlink="">
      <xdr:nvSpPr>
        <xdr:cNvPr id="921" name="Retângulo 920">
          <a:extLst>
            <a:ext uri="{FF2B5EF4-FFF2-40B4-BE49-F238E27FC236}">
              <a16:creationId xmlns:a16="http://schemas.microsoft.com/office/drawing/2014/main" id="{85BCFBAA-594C-692E-0DEE-6BAD92EEA219}"/>
            </a:ext>
          </a:extLst>
        </xdr:cNvPr>
        <xdr:cNvSpPr/>
      </xdr:nvSpPr>
      <xdr:spPr>
        <a:xfrm>
          <a:off x="3335786" y="6826190"/>
          <a:ext cx="29363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98</a:t>
          </a:r>
        </a:p>
      </xdr:txBody>
    </xdr:sp>
    <xdr:clientData/>
  </xdr:twoCellAnchor>
  <xdr:twoCellAnchor>
    <xdr:from>
      <xdr:col>4</xdr:col>
      <xdr:colOff>163881</xdr:colOff>
      <xdr:row>31</xdr:row>
      <xdr:rowOff>115082</xdr:rowOff>
    </xdr:from>
    <xdr:to>
      <xdr:col>4</xdr:col>
      <xdr:colOff>457519</xdr:colOff>
      <xdr:row>32</xdr:row>
      <xdr:rowOff>76672</xdr:rowOff>
    </xdr:to>
    <xdr:sp macro="" textlink="$CM$3">
      <xdr:nvSpPr>
        <xdr:cNvPr id="922" name="Retângulo 921">
          <a:extLst>
            <a:ext uri="{FF2B5EF4-FFF2-40B4-BE49-F238E27FC236}">
              <a16:creationId xmlns:a16="http://schemas.microsoft.com/office/drawing/2014/main" id="{32384AA5-B773-90E4-36F8-4C8943154CDF}"/>
            </a:ext>
          </a:extLst>
        </xdr:cNvPr>
        <xdr:cNvSpPr/>
      </xdr:nvSpPr>
      <xdr:spPr>
        <a:xfrm>
          <a:off x="3660116" y="6827406"/>
          <a:ext cx="2936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CA6F97C-CDCA-41BD-A1BC-0FF1C4AC1E83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490686</xdr:colOff>
      <xdr:row>31</xdr:row>
      <xdr:rowOff>116029</xdr:rowOff>
    </xdr:from>
    <xdr:to>
      <xdr:col>4</xdr:col>
      <xdr:colOff>789199</xdr:colOff>
      <xdr:row>32</xdr:row>
      <xdr:rowOff>77619</xdr:rowOff>
    </xdr:to>
    <xdr:sp macro="" textlink="$CM$2">
      <xdr:nvSpPr>
        <xdr:cNvPr id="923" name="Retângulo 922">
          <a:extLst>
            <a:ext uri="{FF2B5EF4-FFF2-40B4-BE49-F238E27FC236}">
              <a16:creationId xmlns:a16="http://schemas.microsoft.com/office/drawing/2014/main" id="{AB4F29AA-C2F7-D208-4300-1A6785426D59}"/>
            </a:ext>
          </a:extLst>
        </xdr:cNvPr>
        <xdr:cNvSpPr/>
      </xdr:nvSpPr>
      <xdr:spPr>
        <a:xfrm>
          <a:off x="3986921" y="6828353"/>
          <a:ext cx="298513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199B3A0-58CA-4C51-8995-0C07A62A760D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1018551</xdr:colOff>
      <xdr:row>32</xdr:row>
      <xdr:rowOff>89710</xdr:rowOff>
    </xdr:from>
    <xdr:to>
      <xdr:col>4</xdr:col>
      <xdr:colOff>135572</xdr:colOff>
      <xdr:row>33</xdr:row>
      <xdr:rowOff>51300</xdr:rowOff>
    </xdr:to>
    <xdr:sp macro="" textlink="">
      <xdr:nvSpPr>
        <xdr:cNvPr id="924" name="Retângulo 923">
          <a:extLst>
            <a:ext uri="{FF2B5EF4-FFF2-40B4-BE49-F238E27FC236}">
              <a16:creationId xmlns:a16="http://schemas.microsoft.com/office/drawing/2014/main" id="{7B7E4C84-2222-0437-C35D-19AC1E70F599}"/>
            </a:ext>
          </a:extLst>
        </xdr:cNvPr>
        <xdr:cNvSpPr/>
      </xdr:nvSpPr>
      <xdr:spPr>
        <a:xfrm>
          <a:off x="3338169" y="6992534"/>
          <a:ext cx="293638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99</a:t>
          </a:r>
        </a:p>
      </xdr:txBody>
    </xdr:sp>
    <xdr:clientData/>
  </xdr:twoCellAnchor>
  <xdr:twoCellAnchor>
    <xdr:from>
      <xdr:col>4</xdr:col>
      <xdr:colOff>815624</xdr:colOff>
      <xdr:row>31</xdr:row>
      <xdr:rowOff>118719</xdr:rowOff>
    </xdr:from>
    <xdr:to>
      <xdr:col>4</xdr:col>
      <xdr:colOff>1107956</xdr:colOff>
      <xdr:row>32</xdr:row>
      <xdr:rowOff>80309</xdr:rowOff>
    </xdr:to>
    <xdr:sp macro="" textlink="$CM$5">
      <xdr:nvSpPr>
        <xdr:cNvPr id="925" name="Retângulo 924">
          <a:extLst>
            <a:ext uri="{FF2B5EF4-FFF2-40B4-BE49-F238E27FC236}">
              <a16:creationId xmlns:a16="http://schemas.microsoft.com/office/drawing/2014/main" id="{5AC5142A-CC0A-2786-9D37-637D18339731}"/>
            </a:ext>
          </a:extLst>
        </xdr:cNvPr>
        <xdr:cNvSpPr/>
      </xdr:nvSpPr>
      <xdr:spPr>
        <a:xfrm>
          <a:off x="4311859" y="6831043"/>
          <a:ext cx="292332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7F4F33C-F518-4543-81F7-25E89FD5DEFE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818008</xdr:colOff>
      <xdr:row>32</xdr:row>
      <xdr:rowOff>94553</xdr:rowOff>
    </xdr:from>
    <xdr:to>
      <xdr:col>5</xdr:col>
      <xdr:colOff>957</xdr:colOff>
      <xdr:row>33</xdr:row>
      <xdr:rowOff>56143</xdr:rowOff>
    </xdr:to>
    <xdr:sp macro="" textlink="$CN$5">
      <xdr:nvSpPr>
        <xdr:cNvPr id="926" name="Retângulo 925">
          <a:extLst>
            <a:ext uri="{FF2B5EF4-FFF2-40B4-BE49-F238E27FC236}">
              <a16:creationId xmlns:a16="http://schemas.microsoft.com/office/drawing/2014/main" id="{E66ABC27-B6A0-5C4E-A673-689CA357B0E5}"/>
            </a:ext>
          </a:extLst>
        </xdr:cNvPr>
        <xdr:cNvSpPr/>
      </xdr:nvSpPr>
      <xdr:spPr>
        <a:xfrm>
          <a:off x="4314243" y="6997377"/>
          <a:ext cx="292332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4477B53-A296-4DDB-BFE2-A8F5CDAC3931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164891</xdr:colOff>
      <xdr:row>32</xdr:row>
      <xdr:rowOff>90629</xdr:rowOff>
    </xdr:from>
    <xdr:to>
      <xdr:col>4</xdr:col>
      <xdr:colOff>458529</xdr:colOff>
      <xdr:row>33</xdr:row>
      <xdr:rowOff>52219</xdr:rowOff>
    </xdr:to>
    <xdr:sp macro="" textlink="$CN$3">
      <xdr:nvSpPr>
        <xdr:cNvPr id="927" name="Retângulo 926">
          <a:extLst>
            <a:ext uri="{FF2B5EF4-FFF2-40B4-BE49-F238E27FC236}">
              <a16:creationId xmlns:a16="http://schemas.microsoft.com/office/drawing/2014/main" id="{D9DC5B3A-4477-CCCB-7550-D89FDC7F5C1F}"/>
            </a:ext>
          </a:extLst>
        </xdr:cNvPr>
        <xdr:cNvSpPr/>
      </xdr:nvSpPr>
      <xdr:spPr>
        <a:xfrm>
          <a:off x="3661126" y="6993453"/>
          <a:ext cx="2936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DE4B738-EC42-4A0A-B7D2-F267180F10BD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491889</xdr:colOff>
      <xdr:row>32</xdr:row>
      <xdr:rowOff>92210</xdr:rowOff>
    </xdr:from>
    <xdr:to>
      <xdr:col>4</xdr:col>
      <xdr:colOff>789031</xdr:colOff>
      <xdr:row>33</xdr:row>
      <xdr:rowOff>53800</xdr:rowOff>
    </xdr:to>
    <xdr:sp macro="" textlink="$CN$2">
      <xdr:nvSpPr>
        <xdr:cNvPr id="928" name="Retângulo 927">
          <a:extLst>
            <a:ext uri="{FF2B5EF4-FFF2-40B4-BE49-F238E27FC236}">
              <a16:creationId xmlns:a16="http://schemas.microsoft.com/office/drawing/2014/main" id="{1C3DB552-88C6-52CD-0E82-45B609B22B3F}"/>
            </a:ext>
          </a:extLst>
        </xdr:cNvPr>
        <xdr:cNvSpPr/>
      </xdr:nvSpPr>
      <xdr:spPr>
        <a:xfrm>
          <a:off x="3988124" y="6995034"/>
          <a:ext cx="297142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9C445CA-1438-4191-BCC3-7BC1E2E8E7A0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1018638</xdr:colOff>
      <xdr:row>33</xdr:row>
      <xdr:rowOff>65996</xdr:rowOff>
    </xdr:from>
    <xdr:to>
      <xdr:col>4</xdr:col>
      <xdr:colOff>134655</xdr:colOff>
      <xdr:row>34</xdr:row>
      <xdr:rowOff>27586</xdr:rowOff>
    </xdr:to>
    <xdr:sp macro="" textlink="">
      <xdr:nvSpPr>
        <xdr:cNvPr id="929" name="Retângulo 928">
          <a:extLst>
            <a:ext uri="{FF2B5EF4-FFF2-40B4-BE49-F238E27FC236}">
              <a16:creationId xmlns:a16="http://schemas.microsoft.com/office/drawing/2014/main" id="{F2EA908C-0B68-DEBD-3113-6829A523108F}"/>
            </a:ext>
          </a:extLst>
        </xdr:cNvPr>
        <xdr:cNvSpPr/>
      </xdr:nvSpPr>
      <xdr:spPr>
        <a:xfrm>
          <a:off x="3338256" y="7159320"/>
          <a:ext cx="292634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500" b="1"/>
            <a:t>100</a:t>
          </a:r>
        </a:p>
      </xdr:txBody>
    </xdr:sp>
    <xdr:clientData/>
  </xdr:twoCellAnchor>
  <xdr:twoCellAnchor>
    <xdr:from>
      <xdr:col>4</xdr:col>
      <xdr:colOff>165025</xdr:colOff>
      <xdr:row>33</xdr:row>
      <xdr:rowOff>67196</xdr:rowOff>
    </xdr:from>
    <xdr:to>
      <xdr:col>4</xdr:col>
      <xdr:colOff>457659</xdr:colOff>
      <xdr:row>34</xdr:row>
      <xdr:rowOff>28786</xdr:rowOff>
    </xdr:to>
    <xdr:sp macro="" textlink="$CO$3">
      <xdr:nvSpPr>
        <xdr:cNvPr id="930" name="Retângulo 929">
          <a:extLst>
            <a:ext uri="{FF2B5EF4-FFF2-40B4-BE49-F238E27FC236}">
              <a16:creationId xmlns:a16="http://schemas.microsoft.com/office/drawing/2014/main" id="{96B4413B-86EB-AB42-E256-9CE78BDBDB4F}"/>
            </a:ext>
          </a:extLst>
        </xdr:cNvPr>
        <xdr:cNvSpPr/>
      </xdr:nvSpPr>
      <xdr:spPr>
        <a:xfrm>
          <a:off x="3661260" y="7160520"/>
          <a:ext cx="29263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CD14351-4163-48B8-9ADE-DA61F77CCF30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490696</xdr:colOff>
      <xdr:row>33</xdr:row>
      <xdr:rowOff>69418</xdr:rowOff>
    </xdr:from>
    <xdr:to>
      <xdr:col>4</xdr:col>
      <xdr:colOff>789030</xdr:colOff>
      <xdr:row>34</xdr:row>
      <xdr:rowOff>31008</xdr:rowOff>
    </xdr:to>
    <xdr:sp macro="" textlink="$CO$2">
      <xdr:nvSpPr>
        <xdr:cNvPr id="931" name="Retângulo 930">
          <a:extLst>
            <a:ext uri="{FF2B5EF4-FFF2-40B4-BE49-F238E27FC236}">
              <a16:creationId xmlns:a16="http://schemas.microsoft.com/office/drawing/2014/main" id="{143A0976-6964-607C-7D00-173CC879AEC1}"/>
            </a:ext>
          </a:extLst>
        </xdr:cNvPr>
        <xdr:cNvSpPr/>
      </xdr:nvSpPr>
      <xdr:spPr>
        <a:xfrm>
          <a:off x="3986931" y="7162742"/>
          <a:ext cx="29833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BAC6E5A-677A-42D1-AD0F-2A81349EC7DE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819129</xdr:colOff>
      <xdr:row>33</xdr:row>
      <xdr:rowOff>72153</xdr:rowOff>
    </xdr:from>
    <xdr:to>
      <xdr:col>5</xdr:col>
      <xdr:colOff>3984</xdr:colOff>
      <xdr:row>34</xdr:row>
      <xdr:rowOff>33743</xdr:rowOff>
    </xdr:to>
    <xdr:sp macro="" textlink="$CO$5">
      <xdr:nvSpPr>
        <xdr:cNvPr id="932" name="Retângulo 931">
          <a:extLst>
            <a:ext uri="{FF2B5EF4-FFF2-40B4-BE49-F238E27FC236}">
              <a16:creationId xmlns:a16="http://schemas.microsoft.com/office/drawing/2014/main" id="{D0C0D6F7-C4E9-A787-17EF-BCBF0FB04BBD}"/>
            </a:ext>
          </a:extLst>
        </xdr:cNvPr>
        <xdr:cNvSpPr/>
      </xdr:nvSpPr>
      <xdr:spPr>
        <a:xfrm>
          <a:off x="4315364" y="7165477"/>
          <a:ext cx="294238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CA05E22B-1C8C-4D2B-B103-57E7F752A1EE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1018554</xdr:colOff>
      <xdr:row>34</xdr:row>
      <xdr:rowOff>42176</xdr:rowOff>
    </xdr:from>
    <xdr:to>
      <xdr:col>4</xdr:col>
      <xdr:colOff>134571</xdr:colOff>
      <xdr:row>35</xdr:row>
      <xdr:rowOff>3766</xdr:rowOff>
    </xdr:to>
    <xdr:sp macro="" textlink="">
      <xdr:nvSpPr>
        <xdr:cNvPr id="933" name="Retângulo 932">
          <a:extLst>
            <a:ext uri="{FF2B5EF4-FFF2-40B4-BE49-F238E27FC236}">
              <a16:creationId xmlns:a16="http://schemas.microsoft.com/office/drawing/2014/main" id="{BE6E96D6-A6EC-5B96-9931-FB11821E7128}"/>
            </a:ext>
          </a:extLst>
        </xdr:cNvPr>
        <xdr:cNvSpPr/>
      </xdr:nvSpPr>
      <xdr:spPr>
        <a:xfrm>
          <a:off x="3338172" y="7326000"/>
          <a:ext cx="292634" cy="15209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500" b="1"/>
            <a:t>101</a:t>
          </a:r>
        </a:p>
      </xdr:txBody>
    </xdr:sp>
    <xdr:clientData/>
  </xdr:twoCellAnchor>
  <xdr:twoCellAnchor>
    <xdr:from>
      <xdr:col>4</xdr:col>
      <xdr:colOff>165128</xdr:colOff>
      <xdr:row>34</xdr:row>
      <xdr:rowOff>43378</xdr:rowOff>
    </xdr:from>
    <xdr:to>
      <xdr:col>4</xdr:col>
      <xdr:colOff>457762</xdr:colOff>
      <xdr:row>35</xdr:row>
      <xdr:rowOff>4968</xdr:rowOff>
    </xdr:to>
    <xdr:sp macro="" textlink="$CO$3">
      <xdr:nvSpPr>
        <xdr:cNvPr id="934" name="Retângulo 933">
          <a:extLst>
            <a:ext uri="{FF2B5EF4-FFF2-40B4-BE49-F238E27FC236}">
              <a16:creationId xmlns:a16="http://schemas.microsoft.com/office/drawing/2014/main" id="{9F7CF84A-2B97-8D5F-C2A6-4DEFD0CEF568}"/>
            </a:ext>
          </a:extLst>
        </xdr:cNvPr>
        <xdr:cNvSpPr/>
      </xdr:nvSpPr>
      <xdr:spPr>
        <a:xfrm>
          <a:off x="3661363" y="7327202"/>
          <a:ext cx="292634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FD6A285-47DA-4F96-A0D6-357DB3241666}" type="TxLink">
            <a:rPr lang="en-US" sz="800" b="1" i="0" u="none" strike="noStrike">
              <a:solidFill>
                <a:srgbClr val="00206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800" b="1" i="0" u="none" strike="noStrike">
            <a:solidFill>
              <a:srgbClr val="00206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490801</xdr:colOff>
      <xdr:row>34</xdr:row>
      <xdr:rowOff>45606</xdr:rowOff>
    </xdr:from>
    <xdr:to>
      <xdr:col>4</xdr:col>
      <xdr:colOff>789030</xdr:colOff>
      <xdr:row>35</xdr:row>
      <xdr:rowOff>7196</xdr:rowOff>
    </xdr:to>
    <xdr:sp macro="" textlink="$CO$2">
      <xdr:nvSpPr>
        <xdr:cNvPr id="935" name="Retângulo 934">
          <a:extLst>
            <a:ext uri="{FF2B5EF4-FFF2-40B4-BE49-F238E27FC236}">
              <a16:creationId xmlns:a16="http://schemas.microsoft.com/office/drawing/2014/main" id="{16E10C61-A853-932A-F9BF-E354DE2FFE39}"/>
            </a:ext>
          </a:extLst>
        </xdr:cNvPr>
        <xdr:cNvSpPr/>
      </xdr:nvSpPr>
      <xdr:spPr>
        <a:xfrm>
          <a:off x="3987036" y="7329430"/>
          <a:ext cx="298229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09DE010-6228-44F3-9520-00D61F54A076}" type="TxLink">
            <a:rPr lang="en-US" sz="800" b="1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64,2</a:t>
          </a:fld>
          <a:endParaRPr lang="pt-BR" sz="800" b="1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819144</xdr:colOff>
      <xdr:row>34</xdr:row>
      <xdr:rowOff>47161</xdr:rowOff>
    </xdr:from>
    <xdr:to>
      <xdr:col>5</xdr:col>
      <xdr:colOff>1602</xdr:colOff>
      <xdr:row>35</xdr:row>
      <xdr:rowOff>8751</xdr:rowOff>
    </xdr:to>
    <xdr:sp macro="" textlink="$CO$5">
      <xdr:nvSpPr>
        <xdr:cNvPr id="936" name="Retângulo 935">
          <a:extLst>
            <a:ext uri="{FF2B5EF4-FFF2-40B4-BE49-F238E27FC236}">
              <a16:creationId xmlns:a16="http://schemas.microsoft.com/office/drawing/2014/main" id="{8C2D7138-FAAE-D507-488F-3729346ED05E}"/>
            </a:ext>
          </a:extLst>
        </xdr:cNvPr>
        <xdr:cNvSpPr/>
      </xdr:nvSpPr>
      <xdr:spPr>
        <a:xfrm>
          <a:off x="4315379" y="7330985"/>
          <a:ext cx="291841" cy="1520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AFC4A31-0754-4DF5-9F0B-E6C1DDB52503}" type="TxLink">
            <a:rPr lang="en-US" sz="8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9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123263</xdr:colOff>
      <xdr:row>35</xdr:row>
      <xdr:rowOff>67237</xdr:rowOff>
    </xdr:from>
    <xdr:to>
      <xdr:col>4</xdr:col>
      <xdr:colOff>1075764</xdr:colOff>
      <xdr:row>46</xdr:row>
      <xdr:rowOff>156883</xdr:rowOff>
    </xdr:to>
    <xdr:graphicFrame macro="">
      <xdr:nvGraphicFramePr>
        <xdr:cNvPr id="943" name="Gráfico 942">
          <a:extLst>
            <a:ext uri="{FF2B5EF4-FFF2-40B4-BE49-F238E27FC236}">
              <a16:creationId xmlns:a16="http://schemas.microsoft.com/office/drawing/2014/main" id="{24FE2812-6B51-4FDA-8A51-754CC9050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24</xdr:row>
      <xdr:rowOff>111431</xdr:rowOff>
    </xdr:from>
    <xdr:to>
      <xdr:col>5</xdr:col>
      <xdr:colOff>560294</xdr:colOff>
      <xdr:row>41</xdr:row>
      <xdr:rowOff>44824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19D507-51A3-196E-0C2D-C08B51091F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307159</xdr:colOff>
      <xdr:row>0</xdr:row>
      <xdr:rowOff>178130</xdr:rowOff>
    </xdr:from>
    <xdr:to>
      <xdr:col>5</xdr:col>
      <xdr:colOff>321623</xdr:colOff>
      <xdr:row>3</xdr:row>
      <xdr:rowOff>73354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1EAA014-CD53-41BF-8727-FEBC24CC25BA}"/>
            </a:ext>
          </a:extLst>
        </xdr:cNvPr>
        <xdr:cNvSpPr txBox="1"/>
      </xdr:nvSpPr>
      <xdr:spPr>
        <a:xfrm>
          <a:off x="946695" y="178130"/>
          <a:ext cx="4681714" cy="466724"/>
        </a:xfrm>
        <a:prstGeom prst="homePlate">
          <a:avLst/>
        </a:prstGeom>
        <a:solidFill>
          <a:srgbClr val="00206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1" u="sng">
              <a:solidFill>
                <a:schemeClr val="bg1"/>
              </a:solidFill>
            </a:rPr>
            <a:t>Pesagem</a:t>
          </a:r>
          <a:r>
            <a:rPr lang="pt-BR" sz="2800" b="1" u="sng" baseline="0">
              <a:solidFill>
                <a:schemeClr val="bg1"/>
              </a:solidFill>
            </a:rPr>
            <a:t> semanal</a:t>
          </a:r>
          <a:endParaRPr lang="pt-BR" sz="2800" b="1" u="sng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34636</xdr:colOff>
      <xdr:row>0</xdr:row>
      <xdr:rowOff>34637</xdr:rowOff>
    </xdr:from>
    <xdr:to>
      <xdr:col>1</xdr:col>
      <xdr:colOff>240712</xdr:colOff>
      <xdr:row>4</xdr:row>
      <xdr:rowOff>40821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DCB9472-6AAC-4C8A-A962-300E48ACF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2" r="20401"/>
        <a:stretch/>
      </xdr:blipFill>
      <xdr:spPr>
        <a:xfrm>
          <a:off x="34636" y="34637"/>
          <a:ext cx="845612" cy="768184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</xdr:spPr>
    </xdr:pic>
    <xdr:clientData/>
  </xdr:twoCellAnchor>
  <xdr:twoCellAnchor editAs="oneCell">
    <xdr:from>
      <xdr:col>2</xdr:col>
      <xdr:colOff>896471</xdr:colOff>
      <xdr:row>42</xdr:row>
      <xdr:rowOff>65755</xdr:rowOff>
    </xdr:from>
    <xdr:to>
      <xdr:col>4</xdr:col>
      <xdr:colOff>3679</xdr:colOff>
      <xdr:row>46</xdr:row>
      <xdr:rowOff>112059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EF248C2-BE79-452D-B2E6-9E94474B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8059" y="8414137"/>
          <a:ext cx="1796620" cy="808304"/>
        </a:xfrm>
        <a:prstGeom prst="rect">
          <a:avLst/>
        </a:prstGeom>
      </xdr:spPr>
    </xdr:pic>
    <xdr:clientData/>
  </xdr:twoCellAnchor>
  <xdr:twoCellAnchor editAs="oneCell">
    <xdr:from>
      <xdr:col>4</xdr:col>
      <xdr:colOff>492469</xdr:colOff>
      <xdr:row>41</xdr:row>
      <xdr:rowOff>82362</xdr:rowOff>
    </xdr:from>
    <xdr:to>
      <xdr:col>5</xdr:col>
      <xdr:colOff>91240</xdr:colOff>
      <xdr:row>46</xdr:row>
      <xdr:rowOff>177043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629D80A-84AA-44D8-9324-56CF14CB5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620" b="97964" l="8175" r="61407">
                      <a14:foregroundMark x1="54183" y1="3846" x2="50190" y2="9050"/>
                      <a14:foregroundMark x1="10837" y1="24434" x2="13118" y2="42760"/>
                      <a14:foregroundMark x1="13118" y1="42760" x2="13688" y2="43891"/>
                      <a14:foregroundMark x1="32319" y1="82805" x2="40684" y2="95928"/>
                      <a14:foregroundMark x1="40684" y1="95928" x2="41635" y2="94796"/>
                      <a14:foregroundMark x1="33460" y1="95475" x2="32129" y2="97964"/>
                      <a14:foregroundMark x1="18061" y1="63348" x2="18061" y2="63348"/>
                      <a14:foregroundMark x1="8175" y1="27149" x2="8175" y2="271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15" r="32312"/>
        <a:stretch/>
      </xdr:blipFill>
      <xdr:spPr>
        <a:xfrm>
          <a:off x="4673944" y="8264337"/>
          <a:ext cx="713196" cy="10471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213568</xdr:colOff>
      <xdr:row>41</xdr:row>
      <xdr:rowOff>22584</xdr:rowOff>
    </xdr:from>
    <xdr:to>
      <xdr:col>1</xdr:col>
      <xdr:colOff>224691</xdr:colOff>
      <xdr:row>47</xdr:row>
      <xdr:rowOff>128064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63CC181-3625-4973-A557-598DFE81C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>
                      <a14:foregroundMark x1="21583" y1="14346" x2="30216" y2="32911"/>
                      <a14:foregroundMark x1="16547" y1="23629" x2="20144" y2="38397"/>
                      <a14:foregroundMark x1="19424" y1="18987" x2="14388" y2="35021"/>
                      <a14:foregroundMark x1="14388" y1="35021" x2="22302" y2="42194"/>
                      <a14:foregroundMark x1="10072" y1="20253" x2="10072" y2="33333"/>
                      <a14:foregroundMark x1="9353" y1="32068" x2="17266" y2="17722"/>
                      <a14:foregroundMark x1="17266" y1="17722" x2="17266" y2="1476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45492">
          <a:off x="213568" y="8204559"/>
          <a:ext cx="649298" cy="12484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840441</xdr:colOff>
      <xdr:row>42</xdr:row>
      <xdr:rowOff>48338</xdr:rowOff>
    </xdr:from>
    <xdr:to>
      <xdr:col>2</xdr:col>
      <xdr:colOff>806823</xdr:colOff>
      <xdr:row>47</xdr:row>
      <xdr:rowOff>27394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9412DF6-A7FD-476A-9EEE-AA0CA44D9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176" y="8396720"/>
          <a:ext cx="829235" cy="931556"/>
        </a:xfrm>
        <a:prstGeom prst="rect">
          <a:avLst/>
        </a:prstGeom>
      </xdr:spPr>
    </xdr:pic>
    <xdr:clientData/>
  </xdr:twoCellAnchor>
  <xdr:twoCellAnchor>
    <xdr:from>
      <xdr:col>2</xdr:col>
      <xdr:colOff>781209</xdr:colOff>
      <xdr:row>15</xdr:row>
      <xdr:rowOff>106456</xdr:rowOff>
    </xdr:from>
    <xdr:to>
      <xdr:col>2</xdr:col>
      <xdr:colOff>1461567</xdr:colOff>
      <xdr:row>16</xdr:row>
      <xdr:rowOff>174492</xdr:rowOff>
    </xdr:to>
    <xdr:sp macro="" textlink="$C$19">
      <xdr:nvSpPr>
        <xdr:cNvPr id="11" name="Retângulo: Cantos Arredondados 10">
          <a:extLst>
            <a:ext uri="{FF2B5EF4-FFF2-40B4-BE49-F238E27FC236}">
              <a16:creationId xmlns:a16="http://schemas.microsoft.com/office/drawing/2014/main" id="{03C51FAE-E585-7A44-3FA6-7CCDCE8B4714}"/>
            </a:ext>
          </a:extLst>
        </xdr:cNvPr>
        <xdr:cNvSpPr/>
      </xdr:nvSpPr>
      <xdr:spPr>
        <a:xfrm>
          <a:off x="2282797" y="3109632"/>
          <a:ext cx="680358" cy="3033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8909344-21FD-4E38-9EBB-5A305118F4B6}" type="TxLink">
            <a:rPr lang="en-US" sz="1100" b="0" i="0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 </a:t>
          </a:fld>
          <a:endParaRPr lang="pt-BR" sz="1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106854</xdr:colOff>
      <xdr:row>13</xdr:row>
      <xdr:rowOff>123265</xdr:rowOff>
    </xdr:from>
    <xdr:to>
      <xdr:col>5</xdr:col>
      <xdr:colOff>453838</xdr:colOff>
      <xdr:row>18</xdr:row>
      <xdr:rowOff>9605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A0B9018-457B-9154-B195-4B4E0964D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419100</xdr:colOff>
      <xdr:row>0</xdr:row>
      <xdr:rowOff>47623</xdr:rowOff>
    </xdr:from>
    <xdr:to>
      <xdr:col>25</xdr:col>
      <xdr:colOff>285751</xdr:colOff>
      <xdr:row>309</xdr:row>
      <xdr:rowOff>166686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C3BBFAA-6E17-9B0B-F9AA-D47C4FD0E5C2}"/>
            </a:ext>
          </a:extLst>
        </xdr:cNvPr>
        <xdr:cNvSpPr/>
      </xdr:nvSpPr>
      <xdr:spPr>
        <a:xfrm>
          <a:off x="6348413" y="47623"/>
          <a:ext cx="8605838" cy="5924550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635534</xdr:colOff>
      <xdr:row>19</xdr:row>
      <xdr:rowOff>61633</xdr:rowOff>
    </xdr:from>
    <xdr:to>
      <xdr:col>2</xdr:col>
      <xdr:colOff>1315892</xdr:colOff>
      <xdr:row>20</xdr:row>
      <xdr:rowOff>174493</xdr:rowOff>
    </xdr:to>
    <xdr:sp macro="" textlink="$C$23">
      <xdr:nvSpPr>
        <xdr:cNvPr id="10" name="Retângulo: Cantos Arredondados 9">
          <a:extLst>
            <a:ext uri="{FF2B5EF4-FFF2-40B4-BE49-F238E27FC236}">
              <a16:creationId xmlns:a16="http://schemas.microsoft.com/office/drawing/2014/main" id="{607F150A-47CC-7386-EFEF-A5016BEAC8B8}"/>
            </a:ext>
          </a:extLst>
        </xdr:cNvPr>
        <xdr:cNvSpPr/>
      </xdr:nvSpPr>
      <xdr:spPr>
        <a:xfrm>
          <a:off x="2137122" y="3961280"/>
          <a:ext cx="680358" cy="3033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B555ACF0-05E4-4E36-A279-5FF51C82BC66}" type="TxLink">
            <a:rPr lang="en-US" sz="1100" b="0" i="0" u="none" strike="noStrike">
              <a:solidFill>
                <a:srgbClr val="FFFFFF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pt-BR" sz="1100" b="0" i="0" u="none" strike="noStrike">
            <a:solidFill>
              <a:srgbClr val="FFFFFF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128866</xdr:colOff>
      <xdr:row>18</xdr:row>
      <xdr:rowOff>1121</xdr:rowOff>
    </xdr:from>
    <xdr:to>
      <xdr:col>5</xdr:col>
      <xdr:colOff>425824</xdr:colOff>
      <xdr:row>22</xdr:row>
      <xdr:rowOff>123266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35365B9-42D3-2BA8-105E-2A61C8A99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0</xdr:rowOff>
    </xdr:from>
    <xdr:to>
      <xdr:col>12</xdr:col>
      <xdr:colOff>438150</xdr:colOff>
      <xdr:row>8</xdr:row>
      <xdr:rowOff>152400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1E49319D-6B7A-4BA4-AE23-7AF0A9D8F55C}"/>
            </a:ext>
          </a:extLst>
        </xdr:cNvPr>
        <xdr:cNvSpPr/>
      </xdr:nvSpPr>
      <xdr:spPr>
        <a:xfrm>
          <a:off x="2686050" y="85725"/>
          <a:ext cx="4514850" cy="129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514350</xdr:colOff>
      <xdr:row>1</xdr:row>
      <xdr:rowOff>0</xdr:rowOff>
    </xdr:from>
    <xdr:to>
      <xdr:col>20</xdr:col>
      <xdr:colOff>561975</xdr:colOff>
      <xdr:row>8</xdr:row>
      <xdr:rowOff>152400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D0CBE5E0-F404-4DB0-9D18-AA3C4B0E5603}"/>
            </a:ext>
          </a:extLst>
        </xdr:cNvPr>
        <xdr:cNvSpPr/>
      </xdr:nvSpPr>
      <xdr:spPr>
        <a:xfrm>
          <a:off x="7277100" y="85725"/>
          <a:ext cx="4581525" cy="129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514350</xdr:colOff>
      <xdr:row>0</xdr:row>
      <xdr:rowOff>57150</xdr:rowOff>
    </xdr:from>
    <xdr:to>
      <xdr:col>5</xdr:col>
      <xdr:colOff>0</xdr:colOff>
      <xdr:row>1</xdr:row>
      <xdr:rowOff>142874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98AB7567-725E-4E25-A74A-672AD49F4BDC}"/>
            </a:ext>
          </a:extLst>
        </xdr:cNvPr>
        <xdr:cNvSpPr txBox="1"/>
      </xdr:nvSpPr>
      <xdr:spPr>
        <a:xfrm>
          <a:off x="714375" y="57150"/>
          <a:ext cx="1924050" cy="466724"/>
        </a:xfrm>
        <a:custGeom>
          <a:avLst/>
          <a:gdLst>
            <a:gd name="connsiteX0" fmla="*/ 0 w 1971675"/>
            <a:gd name="connsiteY0" fmla="*/ 0 h 466724"/>
            <a:gd name="connsiteX1" fmla="*/ 1890712 w 1971675"/>
            <a:gd name="connsiteY1" fmla="*/ 0 h 466724"/>
            <a:gd name="connsiteX2" fmla="*/ 1971675 w 1971675"/>
            <a:gd name="connsiteY2" fmla="*/ 233362 h 466724"/>
            <a:gd name="connsiteX3" fmla="*/ 1890712 w 1971675"/>
            <a:gd name="connsiteY3" fmla="*/ 466724 h 466724"/>
            <a:gd name="connsiteX4" fmla="*/ 0 w 1971675"/>
            <a:gd name="connsiteY4" fmla="*/ 466724 h 466724"/>
            <a:gd name="connsiteX5" fmla="*/ 0 w 1971675"/>
            <a:gd name="connsiteY5" fmla="*/ 0 h 466724"/>
            <a:gd name="connsiteX0" fmla="*/ 0 w 1924050"/>
            <a:gd name="connsiteY0" fmla="*/ 0 h 466724"/>
            <a:gd name="connsiteX1" fmla="*/ 1890712 w 1924050"/>
            <a:gd name="connsiteY1" fmla="*/ 0 h 466724"/>
            <a:gd name="connsiteX2" fmla="*/ 1924050 w 1924050"/>
            <a:gd name="connsiteY2" fmla="*/ 242887 h 466724"/>
            <a:gd name="connsiteX3" fmla="*/ 1890712 w 1924050"/>
            <a:gd name="connsiteY3" fmla="*/ 466724 h 466724"/>
            <a:gd name="connsiteX4" fmla="*/ 0 w 1924050"/>
            <a:gd name="connsiteY4" fmla="*/ 466724 h 466724"/>
            <a:gd name="connsiteX5" fmla="*/ 0 w 1924050"/>
            <a:gd name="connsiteY5" fmla="*/ 0 h 4667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924050" h="466724">
              <a:moveTo>
                <a:pt x="0" y="0"/>
              </a:moveTo>
              <a:lnTo>
                <a:pt x="1890712" y="0"/>
              </a:lnTo>
              <a:lnTo>
                <a:pt x="1924050" y="242887"/>
              </a:lnTo>
              <a:lnTo>
                <a:pt x="1890712" y="466724"/>
              </a:lnTo>
              <a:lnTo>
                <a:pt x="0" y="466724"/>
              </a:lnTo>
              <a:lnTo>
                <a:pt x="0" y="0"/>
              </a:lnTo>
              <a:close/>
            </a:path>
          </a:pathLst>
        </a:custGeom>
        <a:solidFill>
          <a:srgbClr val="00206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 u="sng">
              <a:solidFill>
                <a:schemeClr val="bg1"/>
              </a:solidFill>
            </a:rPr>
            <a:t>Relatório de pesagem</a:t>
          </a:r>
        </a:p>
      </xdr:txBody>
    </xdr:sp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368822</xdr:colOff>
      <xdr:row>1</xdr:row>
      <xdr:rowOff>171450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E2CCFB8-DA99-4D7B-B998-C525444EA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2" r="20401"/>
        <a:stretch/>
      </xdr:blipFill>
      <xdr:spPr>
        <a:xfrm>
          <a:off x="285751" y="0"/>
          <a:ext cx="283096" cy="257175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</xdr:pic>
    <xdr:clientData/>
  </xdr:twoCellAnchor>
  <xdr:twoCellAnchor>
    <xdr:from>
      <xdr:col>5</xdr:col>
      <xdr:colOff>29582</xdr:colOff>
      <xdr:row>0</xdr:row>
      <xdr:rowOff>42549</xdr:rowOff>
    </xdr:from>
    <xdr:to>
      <xdr:col>12</xdr:col>
      <xdr:colOff>483577</xdr:colOff>
      <xdr:row>8</xdr:row>
      <xdr:rowOff>183172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10263E-A491-4BFC-A05A-C31C728D6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484597</xdr:colOff>
      <xdr:row>0</xdr:row>
      <xdr:rowOff>36241</xdr:rowOff>
    </xdr:from>
    <xdr:to>
      <xdr:col>20</xdr:col>
      <xdr:colOff>534866</xdr:colOff>
      <xdr:row>8</xdr:row>
      <xdr:rowOff>183173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E551FDA-EA1E-40A4-8DF2-FD547F849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20</xdr:col>
      <xdr:colOff>151398</xdr:colOff>
      <xdr:row>43</xdr:row>
      <xdr:rowOff>34637</xdr:rowOff>
    </xdr:from>
    <xdr:to>
      <xdr:col>20</xdr:col>
      <xdr:colOff>494545</xdr:colOff>
      <xdr:row>44</xdr:row>
      <xdr:rowOff>155864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5B2FC5EC-17A0-497D-9317-AF8159136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2" r="20401"/>
        <a:stretch/>
      </xdr:blipFill>
      <xdr:spPr>
        <a:xfrm>
          <a:off x="11338943" y="7862455"/>
          <a:ext cx="343147" cy="311727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</xdr:pic>
    <xdr:clientData/>
  </xdr:twoCellAnchor>
  <xdr:twoCellAnchor>
    <xdr:from>
      <xdr:col>15</xdr:col>
      <xdr:colOff>396336</xdr:colOff>
      <xdr:row>43</xdr:row>
      <xdr:rowOff>69275</xdr:rowOff>
    </xdr:from>
    <xdr:to>
      <xdr:col>20</xdr:col>
      <xdr:colOff>171200</xdr:colOff>
      <xdr:row>44</xdr:row>
      <xdr:rowOff>121229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EB8870E3-CB73-0AD9-32A2-6E4196E57D3C}"/>
            </a:ext>
          </a:extLst>
        </xdr:cNvPr>
        <xdr:cNvSpPr txBox="1"/>
      </xdr:nvSpPr>
      <xdr:spPr>
        <a:xfrm>
          <a:off x="8566065" y="7890661"/>
          <a:ext cx="2822864" cy="242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accent1">
                  <a:lumMod val="75000"/>
                </a:schemeClr>
              </a:solidFill>
              <a:latin typeface="ChubbetDistendedW01-Regular" panose="00000400000000000000" pitchFamily="50" charset="0"/>
            </a:rPr>
            <a:t>WWW.HNAVICULTURA.COM</a:t>
          </a:r>
        </a:p>
      </xdr:txBody>
    </xdr:sp>
    <xdr:clientData/>
  </xdr:twoCellAnchor>
  <xdr:twoCellAnchor editAs="oneCell">
    <xdr:from>
      <xdr:col>14</xdr:col>
      <xdr:colOff>141763</xdr:colOff>
      <xdr:row>43</xdr:row>
      <xdr:rowOff>34636</xdr:rowOff>
    </xdr:from>
    <xdr:to>
      <xdr:col>15</xdr:col>
      <xdr:colOff>225137</xdr:colOff>
      <xdr:row>44</xdr:row>
      <xdr:rowOff>155863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A894796-1EFB-35A3-7930-EF2B63D1A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2" r="20401"/>
        <a:stretch/>
      </xdr:blipFill>
      <xdr:spPr>
        <a:xfrm>
          <a:off x="8038854" y="7862454"/>
          <a:ext cx="343147" cy="311727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4212C6-B7FB-49C4-B0C7-80138C7FE431}" name="Tabela2" displayName="Tabela2" ref="H11:DF314" totalsRowShown="0" headerRowDxfId="205" dataDxfId="203" headerRowBorderDxfId="204" tableBorderDxfId="202">
  <autoFilter ref="H11:DF314" xr:uid="{044212C6-B7FB-49C4-B0C7-80138C7FE4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</autoFilter>
  <tableColumns count="103">
    <tableColumn id="1" xr3:uid="{CF5FD445-0C0C-4BFC-AE9A-C370401CA58A}" name="Matriz A" dataDxfId="201"/>
    <tableColumn id="2" xr3:uid="{4B5A0778-F8EC-4B6F-ADAC-D77E7B04F5E8}" name="Matriz B" dataDxfId="200"/>
    <tableColumn id="3" xr3:uid="{0B289500-1A82-47FD-B168-E0686ED4409B}" name="Matriz C" dataDxfId="199"/>
    <tableColumn id="4" xr3:uid="{7F1AAE76-9235-4667-B891-1C9BCFD8BBDE}" name="1" dataDxfId="198"/>
    <tableColumn id="5" xr3:uid="{745D9B0E-8EC1-4B3F-BCED-042891C10DD0}" name="2" dataDxfId="197"/>
    <tableColumn id="6" xr3:uid="{0589DC53-F14B-4E5D-9869-F30753BD6620}" name="3" dataDxfId="196"/>
    <tableColumn id="7" xr3:uid="{92D4D154-2B72-4586-97E0-735862E8CC2D}" name="4" dataDxfId="195"/>
    <tableColumn id="8" xr3:uid="{F8C933D0-5EA2-4BF7-9456-B67B0FACB508}" name="5" dataDxfId="194"/>
    <tableColumn id="9" xr3:uid="{4CBB88FE-4793-44D8-853D-573D0EEA9954}" name="6" dataDxfId="193"/>
    <tableColumn id="10" xr3:uid="{3D80E67D-514A-4266-A8B0-B34DB2CEAB09}" name="7" dataDxfId="192"/>
    <tableColumn id="11" xr3:uid="{D4F67EAE-09DF-4BA2-86B8-6D12312B88A7}" name="8" dataDxfId="191"/>
    <tableColumn id="12" xr3:uid="{A2356812-5133-48EA-817D-8AC7937F805F}" name="9" dataDxfId="190"/>
    <tableColumn id="13" xr3:uid="{A91E2E5F-BE3F-44BC-A8B5-32034B2E3996}" name="10" dataDxfId="189"/>
    <tableColumn id="14" xr3:uid="{15B21546-8648-41CD-A1B2-4D164B86F772}" name="11" dataDxfId="188"/>
    <tableColumn id="15" xr3:uid="{D38E7341-22FB-4574-B56C-C71A34707930}" name="12" dataDxfId="187"/>
    <tableColumn id="16" xr3:uid="{287C6FBA-98CB-40CC-AD68-F0D2F777019A}" name="13" dataDxfId="186"/>
    <tableColumn id="17" xr3:uid="{0689D071-E134-409F-8542-4002005C1587}" name="14" dataDxfId="185"/>
    <tableColumn id="18" xr3:uid="{A6B0EAEB-2F48-4D8E-B814-E35C2D5964B8}" name="15" dataDxfId="184"/>
    <tableColumn id="19" xr3:uid="{4A0828EF-9BD3-4E86-99D0-0B6A102FEB90}" name="16" dataDxfId="183"/>
    <tableColumn id="20" xr3:uid="{B3AA117F-6C57-45AD-BA9A-0F326EA4F923}" name="17" dataDxfId="182"/>
    <tableColumn id="21" xr3:uid="{4A2EAC98-2FCE-4821-BF41-7EDAD879F81F}" name="18" dataDxfId="181"/>
    <tableColumn id="22" xr3:uid="{EBA7DD47-5753-4BF6-B050-C8A974752744}" name="19" dataDxfId="180"/>
    <tableColumn id="23" xr3:uid="{86B0C9C5-B3DA-45E2-929F-A477A7C88DF0}" name="20" dataDxfId="179"/>
    <tableColumn id="24" xr3:uid="{8B88024C-2F04-4C93-981B-BDB02BD55551}" name="21" dataDxfId="178"/>
    <tableColumn id="25" xr3:uid="{9DDD3EE4-B17C-4B72-9D53-A44255B28162}" name="22" dataDxfId="177"/>
    <tableColumn id="26" xr3:uid="{B12B78B9-CC8A-4F18-9AB5-E057E555488B}" name="23" dataDxfId="176"/>
    <tableColumn id="27" xr3:uid="{BF80A66B-BAA0-440A-B45B-CB2A1BA9EA02}" name="24" dataDxfId="175"/>
    <tableColumn id="28" xr3:uid="{C5920441-FC5C-4474-AA15-CCBFE091DD95}" name="25" dataDxfId="174"/>
    <tableColumn id="29" xr3:uid="{2E4C0B90-61D7-4A20-AE42-13B04B9D417D}" name="26" dataDxfId="173"/>
    <tableColumn id="30" xr3:uid="{612D0FA9-38BB-4C62-84BB-AF6A9C8477F6}" name="27" dataDxfId="172"/>
    <tableColumn id="31" xr3:uid="{5D794E28-7D8D-490A-9DE9-02D6F7C15B57}" name="28" dataDxfId="171"/>
    <tableColumn id="32" xr3:uid="{63D411CA-E3F7-485A-8798-0DFE16E8D5D0}" name="29" dataDxfId="170"/>
    <tableColumn id="33" xr3:uid="{4BC0FD81-CE29-4539-97C4-4556134F4E45}" name="30" dataDxfId="169"/>
    <tableColumn id="34" xr3:uid="{2C4B63FC-C9E6-41B1-A252-C8178037EE0B}" name="31" dataDxfId="168"/>
    <tableColumn id="35" xr3:uid="{1C6A7B34-AABE-4654-8D40-70B4D48D78D8}" name="32" dataDxfId="167"/>
    <tableColumn id="36" xr3:uid="{95F342FE-0CEE-442C-8863-0DFCABF17FFF}" name="33" dataDxfId="166"/>
    <tableColumn id="37" xr3:uid="{45AF3833-AFAF-49F4-B3D5-AB72AF2D2CB5}" name="34" dataDxfId="165"/>
    <tableColumn id="38" xr3:uid="{D373174A-370F-4E4A-9D5E-1247333E2E03}" name="35" dataDxfId="164"/>
    <tableColumn id="39" xr3:uid="{570C4269-0E34-4DAC-BC52-DF63058FC853}" name="36" dataDxfId="163"/>
    <tableColumn id="40" xr3:uid="{0188463B-E2A8-490D-98BB-C32C36532755}" name="37" dataDxfId="162"/>
    <tableColumn id="41" xr3:uid="{19C3DF5E-DBA3-43D3-8F73-789E9A018066}" name="38" dataDxfId="161"/>
    <tableColumn id="42" xr3:uid="{EBAEE994-6BA1-49C1-8BCD-757FABCF8B84}" name="39" dataDxfId="160"/>
    <tableColumn id="43" xr3:uid="{90FF8BF3-2731-4F26-A0D5-582000DF6693}" name="40" dataDxfId="159"/>
    <tableColumn id="44" xr3:uid="{265B9AE2-8F59-4C4B-9F40-2160823F17B9}" name="41" dataDxfId="158"/>
    <tableColumn id="45" xr3:uid="{6848F118-AC25-4664-A730-63DFFD0D2629}" name="42" dataDxfId="157"/>
    <tableColumn id="46" xr3:uid="{41F3B98E-CB61-4B19-A26E-BA76EFB3787F}" name="43" dataDxfId="156"/>
    <tableColumn id="47" xr3:uid="{8928E22B-C653-4814-97FE-903616EEAAFC}" name="44" dataDxfId="155"/>
    <tableColumn id="48" xr3:uid="{BE0050F6-D1FD-4D90-A89E-401B7CD0174A}" name="45" dataDxfId="154"/>
    <tableColumn id="49" xr3:uid="{54A075BE-ECEB-45AA-83A2-4A58F11A5977}" name="46" dataDxfId="153"/>
    <tableColumn id="50" xr3:uid="{D18F5D81-739C-4C62-A5C2-6C7C18E534E0}" name="47" dataDxfId="152"/>
    <tableColumn id="51" xr3:uid="{3B809AE7-B87C-4DCA-829A-F75303195444}" name="48" dataDxfId="151"/>
    <tableColumn id="52" xr3:uid="{C1D0FDB6-69AB-44FF-9F63-5B6289687F2A}" name="49" dataDxfId="150"/>
    <tableColumn id="53" xr3:uid="{74A26760-49F8-4CBF-AE6D-665B1D237126}" name="50" dataDxfId="149"/>
    <tableColumn id="54" xr3:uid="{CA4D2D24-F4AA-473B-9616-6FBAB36E7246}" name="51" dataDxfId="148"/>
    <tableColumn id="55" xr3:uid="{4342BD0A-369E-44A2-8DE4-7571E7C054C5}" name="52" dataDxfId="147"/>
    <tableColumn id="56" xr3:uid="{8CB30C67-F533-42E0-96D5-9D6226790C3F}" name="53" dataDxfId="146"/>
    <tableColumn id="57" xr3:uid="{38D5EFCB-88C0-4D7E-9C49-F561D0292EB8}" name="54" dataDxfId="145"/>
    <tableColumn id="58" xr3:uid="{A56E9A93-4C71-467C-86DF-32274987DBA5}" name="55" dataDxfId="144"/>
    <tableColumn id="59" xr3:uid="{75C03E6E-BB81-4117-AB13-96049C45E8F4}" name="56" dataDxfId="143"/>
    <tableColumn id="60" xr3:uid="{F6AFFE90-2C8A-48B2-B094-A88E5968705B}" name="57" dataDxfId="142"/>
    <tableColumn id="61" xr3:uid="{E7053858-B0B2-4B14-8DEB-555B8CC6F6E3}" name="58" dataDxfId="141"/>
    <tableColumn id="62" xr3:uid="{51962782-C4D2-4AF7-8ECA-32CFAB0697F4}" name="59" dataDxfId="140"/>
    <tableColumn id="63" xr3:uid="{468059D9-820E-4481-8AB2-D675F571E864}" name="60" dataDxfId="139"/>
    <tableColumn id="64" xr3:uid="{AE50FE9D-1AD4-4D05-9FA0-B1A540DCC9F2}" name="61" dataDxfId="138"/>
    <tableColumn id="65" xr3:uid="{DD006643-2981-4EAB-A2DC-2EE9468C750C}" name="62" dataDxfId="137"/>
    <tableColumn id="66" xr3:uid="{B1B2F1A0-EEA1-4917-9154-707DBC75F802}" name="63" dataDxfId="136"/>
    <tableColumn id="67" xr3:uid="{9E1CC61B-DF64-4572-8963-17CFC74C9D88}" name="64" dataDxfId="135"/>
    <tableColumn id="68" xr3:uid="{0D7954D8-6C21-4E19-95BD-F1C7D7EABE93}" name="65" dataDxfId="134"/>
    <tableColumn id="69" xr3:uid="{E5C7D6F5-C914-4979-AF09-CA1CED76186C}" name="66" dataDxfId="133"/>
    <tableColumn id="70" xr3:uid="{93B36263-AAD1-4D1A-AD07-DA36136748E5}" name="67" dataDxfId="132"/>
    <tableColumn id="71" xr3:uid="{9C29DF0E-587E-4C42-9B6D-9C17C07C7D12}" name="68" dataDxfId="131"/>
    <tableColumn id="72" xr3:uid="{FEFCDD92-26CC-4D9C-824D-93DC0C3F505A}" name="69" dataDxfId="130"/>
    <tableColumn id="73" xr3:uid="{D5C58A8D-505D-47F3-BF53-F5344F289C8B}" name="70" dataDxfId="129"/>
    <tableColumn id="74" xr3:uid="{2D594D32-639D-4A21-8FAA-3A9B45344D2A}" name="71" dataDxfId="128"/>
    <tableColumn id="75" xr3:uid="{496509F4-174D-46FB-8BBF-88B9ACF207C8}" name="72" dataDxfId="127"/>
    <tableColumn id="76" xr3:uid="{A8601CAA-9461-488C-B9C9-0BD9250F28C1}" name="73" dataDxfId="126"/>
    <tableColumn id="77" xr3:uid="{5DECDE0D-1F06-4834-BC9C-DEBF48FFADDA}" name="74" dataDxfId="125"/>
    <tableColumn id="78" xr3:uid="{A18B3B29-A6D7-40BD-BCA9-C2A5708E6483}" name="75" dataDxfId="124"/>
    <tableColumn id="79" xr3:uid="{9D7CF785-AFC0-4E5E-810B-9F5C3D4BE428}" name="76" dataDxfId="123"/>
    <tableColumn id="80" xr3:uid="{3B1528BE-6825-413E-9AAF-59E788F387C1}" name="77" dataDxfId="122"/>
    <tableColumn id="81" xr3:uid="{1ADDAACA-7465-4E64-BC83-16070F3BA6E3}" name="78" dataDxfId="121"/>
    <tableColumn id="82" xr3:uid="{2C22BC3E-C727-47F2-9BBB-1B452D8E584C}" name="79" dataDxfId="120"/>
    <tableColumn id="83" xr3:uid="{5C6DE3D7-FB81-4494-B2A2-152FF872CE0D}" name="80" dataDxfId="119"/>
    <tableColumn id="84" xr3:uid="{A1E190A3-48C0-4131-BDD1-19A881375E40}" name="81" dataDxfId="118"/>
    <tableColumn id="85" xr3:uid="{C91FF42E-681D-4BE1-9188-2ED074E2735D}" name="82" dataDxfId="117"/>
    <tableColumn id="86" xr3:uid="{520A87D1-070C-4B77-A018-5FB88957A667}" name="83" dataDxfId="116"/>
    <tableColumn id="87" xr3:uid="{6907BA23-29A0-4C31-BF2D-A47557B964C3}" name="84" dataDxfId="115"/>
    <tableColumn id="88" xr3:uid="{2A0B42AC-3382-48F0-AC4E-0F5E47161AD7}" name="85" dataDxfId="114"/>
    <tableColumn id="89" xr3:uid="{BC56A0F5-A212-454A-928E-B935681B3B7D}" name="86" dataDxfId="113"/>
    <tableColumn id="90" xr3:uid="{3261422E-828B-4C03-AE68-3981D5DE36A5}" name="87" dataDxfId="112"/>
    <tableColumn id="91" xr3:uid="{532CC366-5D37-4B10-95F0-6187338CB890}" name="88" dataDxfId="111"/>
    <tableColumn id="92" xr3:uid="{88ECA076-31DB-4E83-B9D9-EAEF74ED18FC}" name="89" dataDxfId="110"/>
    <tableColumn id="93" xr3:uid="{DFE57AD1-1574-40A1-9B79-FAB608B58EE5}" name="90" dataDxfId="109"/>
    <tableColumn id="94" xr3:uid="{7FAF484C-C84E-4C98-BA96-56FDB633754B}" name="91" dataDxfId="108"/>
    <tableColumn id="95" xr3:uid="{59D07155-D58B-420E-A787-8DD2546C84BB}" name="92" dataDxfId="107"/>
    <tableColumn id="96" xr3:uid="{C7A197CD-29A5-4CDB-878C-56C8CB7805C5}" name="93" dataDxfId="106"/>
    <tableColumn id="97" xr3:uid="{DFD54D7C-7FEF-432C-B00D-6F8D31FC35C2}" name="94" dataDxfId="105"/>
    <tableColumn id="98" xr3:uid="{209335F5-4EB1-48CB-BD92-745A6120E563}" name="95" dataDxfId="104"/>
    <tableColumn id="99" xr3:uid="{2F9D63BA-6CC9-482B-8CD5-BA7DBEA7C15E}" name="96" dataDxfId="103"/>
    <tableColumn id="100" xr3:uid="{A4FF0874-F287-4338-BC8B-56B0FE1FFAC2}" name="97" dataDxfId="102"/>
    <tableColumn id="101" xr3:uid="{BF7F0A7C-B88F-4132-B721-01A8662274CD}" name="98" dataDxfId="101"/>
    <tableColumn id="102" xr3:uid="{94769743-0FC4-426D-ABDC-0F2AE7832889}" name="99" dataDxfId="100"/>
    <tableColumn id="103" xr3:uid="{81036107-7895-46E4-A70D-81258092A335}" name="100" dataDxfId="9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87EEA7-1E34-4647-9676-0DA03F722C4A}" name="Tabela22" displayName="Tabela22" ref="H11:CO312" totalsRowShown="0" headerRowDxfId="96" dataDxfId="94" headerRowBorderDxfId="95" tableBorderDxfId="93">
  <autoFilter ref="H11:CO312" xr:uid="{044212C6-B7FB-49C4-B0C7-80138C7FE4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</autoFilter>
  <tableColumns count="86">
    <tableColumn id="1" xr3:uid="{9AE7BBFF-59EB-47CB-A053-CB5A9970AEC7}" name="Sem 15" dataDxfId="92"/>
    <tableColumn id="2" xr3:uid="{8BE1FDB9-E720-4F75-BC49-310547E41E01}" name="Sem 16" dataDxfId="91"/>
    <tableColumn id="3" xr3:uid="{0EEFAAC1-D1B5-42DF-9B3C-7BEB1E2F802B}" name="Sem 17" dataDxfId="90"/>
    <tableColumn id="4" xr3:uid="{6804AB2B-0B5E-4D12-A84E-86C7AE3AE2EC}" name="Sem 18" dataDxfId="89"/>
    <tableColumn id="5" xr3:uid="{08ED3F7C-3335-41FC-BADF-58850A53895A}" name="Sem 19" dataDxfId="88"/>
    <tableColumn id="6" xr3:uid="{EF5D7C74-6324-45A1-AAEB-BAAD7F2150FC}" name="Sem 20" dataDxfId="87"/>
    <tableColumn id="7" xr3:uid="{C711C6BA-5F24-4830-A131-2D081CDC5312}" name="Sem 21" dataDxfId="86"/>
    <tableColumn id="8" xr3:uid="{180FDF65-0451-4553-A9A0-778995E5F002}" name="Sem 22" dataDxfId="85"/>
    <tableColumn id="9" xr3:uid="{61D7DBA4-EDC9-4BC5-B77D-03A726B3B89A}" name="Sem 23" dataDxfId="84"/>
    <tableColumn id="10" xr3:uid="{34E420B0-61F0-453B-9D37-D84FC407C827}" name="Sem 24" dataDxfId="83"/>
    <tableColumn id="11" xr3:uid="{4BEF9532-AA2A-4FF6-8CB7-A9F5074A24FD}" name="Sem 25" dataDxfId="82"/>
    <tableColumn id="12" xr3:uid="{28F74096-A9D6-4DBB-9274-3659AD8666C6}" name="Sem 26" dataDxfId="81"/>
    <tableColumn id="13" xr3:uid="{D5831D34-3DE7-458D-9105-553232746111}" name="Sem 27" dataDxfId="80"/>
    <tableColumn id="14" xr3:uid="{999B7697-67DC-48DB-BB33-0AFA71A6A3F1}" name="Sem 28" dataDxfId="79"/>
    <tableColumn id="15" xr3:uid="{72E39B3D-F710-496E-847A-C64FD9E745B2}" name="Sem 29" dataDxfId="78"/>
    <tableColumn id="16" xr3:uid="{AB3ABE3D-26AF-4E4C-8ED8-F0E97339DF3D}" name="Sem 30" dataDxfId="77"/>
    <tableColumn id="17" xr3:uid="{4426D17A-21CD-44D9-8842-3405B398E8FB}" name="Sem 31" dataDxfId="76"/>
    <tableColumn id="18" xr3:uid="{D71ECEA8-A55C-4670-BDA8-E2472FE1EB05}" name="Sem 32" dataDxfId="75"/>
    <tableColumn id="19" xr3:uid="{31B2C7BC-661B-4CF2-9A5A-CACD0231D3EA}" name="Sem 33" dataDxfId="74"/>
    <tableColumn id="20" xr3:uid="{C2DD79F5-E2AE-455F-BE6F-3F360645B559}" name="Sem 34" dataDxfId="73"/>
    <tableColumn id="21" xr3:uid="{29ADFC50-2FC8-4732-A848-4B7206A7AE0A}" name="Sem 35" dataDxfId="72"/>
    <tableColumn id="22" xr3:uid="{6BC4F396-A3DF-4FDC-844B-003F6D56CAA7}" name="Sem 36" dataDxfId="71"/>
    <tableColumn id="23" xr3:uid="{98D2ECFC-84D0-495D-A336-63E09F8848CB}" name="Sem 37" dataDxfId="70"/>
    <tableColumn id="24" xr3:uid="{D2A0CB2A-3987-4EB6-B058-DE47D42AF4D7}" name="Sem 38" dataDxfId="69"/>
    <tableColumn id="25" xr3:uid="{690EF4E5-23C4-421C-B589-DBDA3E774799}" name="Sem 39" dataDxfId="68"/>
    <tableColumn id="26" xr3:uid="{F1120510-AA45-4330-BDF9-A16D6343CEFC}" name="Sem 40" dataDxfId="67"/>
    <tableColumn id="27" xr3:uid="{75060060-D3A8-4619-ACD9-BCF64B3459BB}" name="Sem 41" dataDxfId="66"/>
    <tableColumn id="28" xr3:uid="{206CBE87-46C7-4DCA-8AB7-31884C866174}" name="Sem 42" dataDxfId="65"/>
    <tableColumn id="29" xr3:uid="{60C616D3-88C0-45B9-AD36-7E7B64F19517}" name="Sem 43" dataDxfId="64"/>
    <tableColumn id="30" xr3:uid="{62892C21-21E9-43AC-8482-D7A0ADF9A78D}" name="Sem 44" dataDxfId="63"/>
    <tableColumn id="31" xr3:uid="{DD797874-DFC2-42A1-921A-1C0696B061DB}" name="Sem 45" dataDxfId="62"/>
    <tableColumn id="32" xr3:uid="{6D847FF2-7F62-4ACC-B9FE-601B5B3486E5}" name="Sem 46" dataDxfId="61"/>
    <tableColumn id="33" xr3:uid="{8D406877-69A5-4169-AB3A-D8867CC49BB8}" name="Sem 47" dataDxfId="60"/>
    <tableColumn id="34" xr3:uid="{50A8355B-DD13-4ED4-BA9A-8FF06E7A7670}" name="Sem 48" dataDxfId="59"/>
    <tableColumn id="35" xr3:uid="{56518A1B-5ABA-45D7-ADF5-5030B825240E}" name="Sem 49" dataDxfId="58"/>
    <tableColumn id="36" xr3:uid="{D30BA086-8251-4326-9450-C67CDFCA504C}" name="Sem 50" dataDxfId="57"/>
    <tableColumn id="37" xr3:uid="{64576BA9-67AF-45DE-BC7E-985174C463D8}" name="Sem 51" dataDxfId="56"/>
    <tableColumn id="38" xr3:uid="{C0CF9D99-CEEF-4AAD-BF8F-4D366DACB8B3}" name="Sem 52" dataDxfId="55"/>
    <tableColumn id="39" xr3:uid="{02F28FD3-9C07-4A89-A7D3-01E8D895007C}" name="Sem 53" dataDxfId="54"/>
    <tableColumn id="40" xr3:uid="{002035BE-BB4E-4FE6-AF91-58289B56F7C4}" name="Sem 54" dataDxfId="53"/>
    <tableColumn id="41" xr3:uid="{E6D8D423-A221-4A1E-9261-EF28EB12FDB4}" name="Sem 55" dataDxfId="52"/>
    <tableColumn id="42" xr3:uid="{AF80A84D-A995-47F8-9886-365533CDDC46}" name="Sem 56" dataDxfId="51"/>
    <tableColumn id="43" xr3:uid="{2C352E14-D1D8-4833-9758-17AC2126FE5E}" name="Sem 57" dataDxfId="50"/>
    <tableColumn id="44" xr3:uid="{EE4F4254-7053-436D-8EC9-09016D7018CD}" name="Sem 58" dataDxfId="49"/>
    <tableColumn id="45" xr3:uid="{4C84A345-67CE-4E95-8307-367D5B3BB9BF}" name="Sem 59" dataDxfId="48"/>
    <tableColumn id="46" xr3:uid="{B7D60BDF-5573-4D65-81A0-63A2AABD4E49}" name="Sem 60" dataDxfId="47"/>
    <tableColumn id="47" xr3:uid="{D7F7FBB6-D4B1-48E3-8579-0FF759F98361}" name="Sem 61" dataDxfId="46"/>
    <tableColumn id="48" xr3:uid="{00F3A5B0-ED9D-4E4D-9399-F5B1D94E76CB}" name="Sem 62" dataDxfId="45"/>
    <tableColumn id="49" xr3:uid="{44EF390B-44F7-4B49-91F5-1EB4418AFB13}" name="Sem 63" dataDxfId="44"/>
    <tableColumn id="50" xr3:uid="{983AD222-6F5B-4371-9B61-8AF80151A951}" name="Sem 64" dataDxfId="43"/>
    <tableColumn id="51" xr3:uid="{064F5C15-16FF-4660-B7E7-444800C1A02D}" name="Sem 65" dataDxfId="42"/>
    <tableColumn id="52" xr3:uid="{94211E39-A205-4243-9AAF-47FDBBA1A893}" name="Sem 66" dataDxfId="41"/>
    <tableColumn id="53" xr3:uid="{750D7EB1-9249-4FF8-8FB3-B970D389D619}" name="Sem 67" dataDxfId="40"/>
    <tableColumn id="54" xr3:uid="{9F5ED963-CCE5-4CDF-9C21-D85BE08AA774}" name="Sem 68" dataDxfId="39"/>
    <tableColumn id="55" xr3:uid="{8AFBE9F2-866A-4A0E-A9A6-EE8F5C84C392}" name="Sem 69" dataDxfId="38"/>
    <tableColumn id="56" xr3:uid="{EBB79DA1-1956-43FE-9B87-0282FCAC0AC3}" name="Sem 70" dataDxfId="37"/>
    <tableColumn id="57" xr3:uid="{203EA041-8670-4415-A1A6-8C98B8CDB3AD}" name="Sem 71" dataDxfId="36"/>
    <tableColumn id="58" xr3:uid="{1EEB47AF-137F-4DF7-85FC-2A7B1ED398A1}" name="Sem 72" dataDxfId="35"/>
    <tableColumn id="59" xr3:uid="{EFC7CAD4-143B-4FC2-ABE7-0DBED7E977E2}" name="Sem 73" dataDxfId="34"/>
    <tableColumn id="60" xr3:uid="{64F45CD4-8180-47DB-B5C9-DBA712297C54}" name="Sem 74" dataDxfId="33"/>
    <tableColumn id="61" xr3:uid="{302E10BD-0EED-45FD-B911-10B0DA85B2B0}" name="Sem 75" dataDxfId="32"/>
    <tableColumn id="62" xr3:uid="{C7901F55-285F-4074-9F53-7C110B318142}" name="Sem 76" dataDxfId="31"/>
    <tableColumn id="63" xr3:uid="{67A0ED4D-2798-4469-9724-CAF0EFDE0150}" name="Sem 77" dataDxfId="30"/>
    <tableColumn id="64" xr3:uid="{E6106C39-2004-4BF3-A0C4-EED843102EC9}" name="Sem 78" dataDxfId="29"/>
    <tableColumn id="65" xr3:uid="{B750AA14-2A9B-4911-B9A5-767D28AEE084}" name="Sem 79" dataDxfId="28"/>
    <tableColumn id="66" xr3:uid="{206DB59F-2AFF-45C2-8383-398928CB6C74}" name="Sem 80" dataDxfId="27"/>
    <tableColumn id="67" xr3:uid="{1A27B3EE-E8E8-424C-B662-20E1C295BD82}" name="Sem 81" dataDxfId="26"/>
    <tableColumn id="68" xr3:uid="{480B962A-2A4B-4EE7-A501-383624658206}" name="Sem 82" dataDxfId="25"/>
    <tableColumn id="69" xr3:uid="{63F22EBF-2BC7-499C-BEF3-2FB7E2B247C3}" name="Sem 83" dataDxfId="24"/>
    <tableColumn id="70" xr3:uid="{1174B8A8-893C-4D55-87C7-91DA567E3BA9}" name="Sem 84" dataDxfId="23"/>
    <tableColumn id="71" xr3:uid="{F48E03E2-267D-44BB-85CA-73BEB47700B2}" name="Sem 85" dataDxfId="22"/>
    <tableColumn id="72" xr3:uid="{506F24F2-D5DC-4717-9340-211807F5F932}" name="Sem 86" dataDxfId="21"/>
    <tableColumn id="73" xr3:uid="{F215ACD2-E7D4-4FDF-A527-521BC82C34E4}" name="Sem 87" dataDxfId="20"/>
    <tableColumn id="74" xr3:uid="{5E5D9FA3-AA41-420B-BA63-CA9B4E962D63}" name="Sem 88" dataDxfId="19"/>
    <tableColumn id="75" xr3:uid="{2CE5ECAB-45F8-4239-9CB9-AC50E24CD7AB}" name="Sem 89" dataDxfId="18"/>
    <tableColumn id="76" xr3:uid="{8D866351-71B4-4417-8075-09FC5FF29C35}" name="Sem 90" dataDxfId="17"/>
    <tableColumn id="77" xr3:uid="{63C3F067-0DD1-444D-ACAB-E106AAB802D3}" name="Sem 91" dataDxfId="16"/>
    <tableColumn id="78" xr3:uid="{9CB6219E-440B-476A-8DF6-315A10EB8A9C}" name="Sem 92" dataDxfId="15"/>
    <tableColumn id="79" xr3:uid="{3F18E131-FA8E-44C1-B035-960906995138}" name="Sem 93" dataDxfId="14"/>
    <tableColumn id="80" xr3:uid="{4ABF59C9-404E-4983-A67D-B4EB5C0A338D}" name="Sem 94" dataDxfId="13"/>
    <tableColumn id="81" xr3:uid="{2E24B410-32C5-432E-AEBC-67EBF507A012}" name="Sem 95" dataDxfId="12"/>
    <tableColumn id="82" xr3:uid="{37CBCD99-08D9-4E43-9C1A-7E28E65D4044}" name="Sem 96" dataDxfId="11"/>
    <tableColumn id="83" xr3:uid="{30AA2576-F802-4540-A0CF-EFF8D9443F83}" name="Sem 97" dataDxfId="10"/>
    <tableColumn id="84" xr3:uid="{931BF651-F50A-4E0B-9EFE-6EEB89DC98EC}" name="Sem 98" dataDxfId="9"/>
    <tableColumn id="85" xr3:uid="{5BD0784F-414A-4D11-92C7-D152CFD23428}" name="Sem 99" dataDxfId="8"/>
    <tableColumn id="86" xr3:uid="{6F1E0908-86DA-45C8-96CC-60E202E3DBB7}" name="Sem 100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2007-89A0-4B54-8090-3B57CDF87D66}">
  <sheetPr>
    <pageSetUpPr fitToPage="1"/>
  </sheetPr>
  <dimension ref="A1:DF315"/>
  <sheetViews>
    <sheetView showGridLines="0" zoomScaleNormal="100" workbookViewId="0">
      <selection activeCell="H14" sqref="H14"/>
    </sheetView>
  </sheetViews>
  <sheetFormatPr defaultColWidth="9.140625" defaultRowHeight="15" x14ac:dyDescent="0.25"/>
  <cols>
    <col min="1" max="1" width="2.28515625" style="4" customWidth="1"/>
    <col min="2" max="2" width="14.7109375" style="4" customWidth="1"/>
    <col min="3" max="3" width="13" style="4" customWidth="1"/>
    <col min="4" max="4" width="17.7109375" style="4" customWidth="1"/>
    <col min="5" max="5" width="16.5703125" style="4" customWidth="1"/>
    <col min="6" max="6" width="5.85546875" style="4" customWidth="1"/>
    <col min="7" max="7" width="11" style="5" customWidth="1"/>
    <col min="8" max="10" width="10.28515625" style="4" customWidth="1"/>
    <col min="11" max="12" width="11.140625" style="4" bestFit="1" customWidth="1"/>
    <col min="13" max="14" width="10.28515625" style="4" customWidth="1"/>
    <col min="15" max="20" width="11.28515625" style="4" customWidth="1"/>
    <col min="21" max="21" width="12.85546875" style="4" customWidth="1"/>
    <col min="22" max="104" width="11.28515625" style="4" customWidth="1"/>
    <col min="105" max="110" width="12.28515625" style="4" customWidth="1"/>
    <col min="111" max="16384" width="9.140625" style="4"/>
  </cols>
  <sheetData>
    <row r="1" spans="1:110" ht="24.75" customHeight="1" x14ac:dyDescent="0.25">
      <c r="G1" s="14"/>
      <c r="H1" s="15" t="s">
        <v>418</v>
      </c>
      <c r="I1" s="15" t="s">
        <v>419</v>
      </c>
      <c r="J1" s="15" t="s">
        <v>420</v>
      </c>
      <c r="K1" s="6" t="s">
        <v>421</v>
      </c>
      <c r="L1" s="6" t="s">
        <v>422</v>
      </c>
      <c r="M1" s="6" t="s">
        <v>423</v>
      </c>
      <c r="N1" s="6" t="s">
        <v>424</v>
      </c>
      <c r="O1" s="6" t="s">
        <v>425</v>
      </c>
      <c r="P1" s="6" t="s">
        <v>426</v>
      </c>
      <c r="Q1" s="6" t="s">
        <v>427</v>
      </c>
      <c r="R1" s="6" t="s">
        <v>428</v>
      </c>
      <c r="S1" s="6" t="s">
        <v>429</v>
      </c>
      <c r="T1" s="6" t="s">
        <v>430</v>
      </c>
      <c r="U1" s="6" t="s">
        <v>431</v>
      </c>
      <c r="V1" s="6" t="s">
        <v>432</v>
      </c>
      <c r="W1" s="6" t="s">
        <v>433</v>
      </c>
      <c r="X1" s="6" t="s">
        <v>434</v>
      </c>
      <c r="Y1" s="6" t="s">
        <v>435</v>
      </c>
      <c r="Z1" s="6" t="s">
        <v>436</v>
      </c>
      <c r="AA1" s="6" t="s">
        <v>437</v>
      </c>
      <c r="AB1" s="6" t="s">
        <v>438</v>
      </c>
      <c r="AC1" s="6" t="s">
        <v>439</v>
      </c>
      <c r="AD1" s="6" t="s">
        <v>440</v>
      </c>
      <c r="AE1" s="6" t="s">
        <v>441</v>
      </c>
      <c r="AF1" s="6" t="s">
        <v>442</v>
      </c>
      <c r="AG1" s="6" t="s">
        <v>443</v>
      </c>
      <c r="AH1" s="6" t="s">
        <v>444</v>
      </c>
      <c r="AI1" s="6" t="s">
        <v>445</v>
      </c>
      <c r="AJ1" s="6" t="s">
        <v>446</v>
      </c>
      <c r="AK1" s="6" t="s">
        <v>447</v>
      </c>
      <c r="AL1" s="6" t="s">
        <v>448</v>
      </c>
      <c r="AM1" s="6" t="s">
        <v>449</v>
      </c>
      <c r="AN1" s="6" t="s">
        <v>450</v>
      </c>
      <c r="AO1" s="6" t="s">
        <v>451</v>
      </c>
      <c r="AP1" s="6" t="s">
        <v>452</v>
      </c>
      <c r="AQ1" s="6" t="s">
        <v>453</v>
      </c>
      <c r="AR1" s="6" t="s">
        <v>454</v>
      </c>
      <c r="AS1" s="6" t="s">
        <v>455</v>
      </c>
      <c r="AT1" s="6" t="s">
        <v>456</v>
      </c>
      <c r="AU1" s="6" t="s">
        <v>457</v>
      </c>
      <c r="AV1" s="6" t="s">
        <v>458</v>
      </c>
      <c r="AW1" s="6" t="s">
        <v>459</v>
      </c>
      <c r="AX1" s="6" t="s">
        <v>460</v>
      </c>
      <c r="AY1" s="6" t="s">
        <v>461</v>
      </c>
      <c r="AZ1" s="6" t="s">
        <v>462</v>
      </c>
      <c r="BA1" s="6" t="s">
        <v>463</v>
      </c>
      <c r="BB1" s="6" t="s">
        <v>464</v>
      </c>
      <c r="BC1" s="6" t="s">
        <v>465</v>
      </c>
      <c r="BD1" s="6" t="s">
        <v>466</v>
      </c>
      <c r="BE1" s="6" t="s">
        <v>467</v>
      </c>
      <c r="BF1" s="6" t="s">
        <v>468</v>
      </c>
      <c r="BG1" s="6" t="s">
        <v>469</v>
      </c>
      <c r="BH1" s="6" t="s">
        <v>470</v>
      </c>
      <c r="BI1" s="6" t="s">
        <v>471</v>
      </c>
      <c r="BJ1" s="6" t="s">
        <v>472</v>
      </c>
      <c r="BK1" s="6" t="s">
        <v>473</v>
      </c>
      <c r="BL1" s="6" t="s">
        <v>474</v>
      </c>
      <c r="BM1" s="6" t="s">
        <v>475</v>
      </c>
      <c r="BN1" s="6" t="s">
        <v>476</v>
      </c>
      <c r="BO1" s="6" t="s">
        <v>477</v>
      </c>
      <c r="BP1" s="6" t="s">
        <v>478</v>
      </c>
      <c r="BQ1" s="6" t="s">
        <v>479</v>
      </c>
      <c r="BR1" s="6" t="s">
        <v>480</v>
      </c>
      <c r="BS1" s="6" t="s">
        <v>481</v>
      </c>
      <c r="BT1" s="6" t="s">
        <v>482</v>
      </c>
      <c r="BU1" s="6" t="s">
        <v>483</v>
      </c>
      <c r="BV1" s="6" t="s">
        <v>484</v>
      </c>
      <c r="BW1" s="6" t="s">
        <v>485</v>
      </c>
      <c r="BX1" s="6" t="s">
        <v>486</v>
      </c>
      <c r="BY1" s="6" t="s">
        <v>487</v>
      </c>
      <c r="BZ1" s="6" t="s">
        <v>488</v>
      </c>
      <c r="CA1" s="6" t="s">
        <v>489</v>
      </c>
      <c r="CB1" s="6" t="s">
        <v>490</v>
      </c>
      <c r="CC1" s="6" t="s">
        <v>491</v>
      </c>
      <c r="CD1" s="6" t="s">
        <v>492</v>
      </c>
      <c r="CE1" s="6" t="s">
        <v>493</v>
      </c>
      <c r="CF1" s="6" t="s">
        <v>494</v>
      </c>
      <c r="CG1" s="6" t="s">
        <v>495</v>
      </c>
      <c r="CH1" s="6" t="s">
        <v>496</v>
      </c>
      <c r="CI1" s="6" t="s">
        <v>497</v>
      </c>
      <c r="CJ1" s="6" t="s">
        <v>498</v>
      </c>
      <c r="CK1" s="6" t="s">
        <v>499</v>
      </c>
      <c r="CL1" s="6" t="s">
        <v>500</v>
      </c>
      <c r="CM1" s="6" t="s">
        <v>501</v>
      </c>
      <c r="CN1" s="6" t="s">
        <v>502</v>
      </c>
      <c r="CO1" s="6" t="s">
        <v>503</v>
      </c>
      <c r="CP1" s="6" t="s">
        <v>504</v>
      </c>
      <c r="CQ1" s="6" t="s">
        <v>505</v>
      </c>
      <c r="CR1" s="6" t="s">
        <v>506</v>
      </c>
      <c r="CS1" s="6" t="s">
        <v>507</v>
      </c>
      <c r="CT1" s="6" t="s">
        <v>508</v>
      </c>
      <c r="CU1" s="6" t="s">
        <v>509</v>
      </c>
      <c r="CV1" s="6" t="s">
        <v>510</v>
      </c>
      <c r="CW1" s="6" t="s">
        <v>511</v>
      </c>
      <c r="CX1" s="6" t="s">
        <v>512</v>
      </c>
      <c r="CY1" s="6" t="s">
        <v>513</v>
      </c>
      <c r="CZ1" s="6" t="s">
        <v>514</v>
      </c>
      <c r="DA1" s="6" t="s">
        <v>515</v>
      </c>
      <c r="DB1" s="6" t="s">
        <v>516</v>
      </c>
      <c r="DC1" s="6" t="s">
        <v>517</v>
      </c>
      <c r="DD1" s="6" t="s">
        <v>518</v>
      </c>
      <c r="DE1" s="6" t="s">
        <v>519</v>
      </c>
      <c r="DF1" s="6" t="s">
        <v>520</v>
      </c>
    </row>
    <row r="2" spans="1:110" x14ac:dyDescent="0.25">
      <c r="G2" s="19" t="s">
        <v>521</v>
      </c>
      <c r="H2" s="18">
        <f>VLOOKUP(H1,'Base de dados'!$B$2:$F$104,MATCH(AVES!$C$7,'Base de dados'!$C$1:$F$1,0)+1,)</f>
        <v>35</v>
      </c>
      <c r="I2" s="18">
        <f>VLOOKUP(I1,'Base de dados'!$B$2:$F$104,MATCH(AVES!$C$7,'Base de dados'!$C$1:$F$1,0)+1,)</f>
        <v>35</v>
      </c>
      <c r="J2" s="18">
        <f>VLOOKUP(J1,'Base de dados'!$B$2:$F$104,MATCH(AVES!$C$7,'Base de dados'!$C$1:$F$1,0)+1,)</f>
        <v>35</v>
      </c>
      <c r="K2" s="18">
        <f>VLOOKUP(K1,'Base de dados'!$B$2:$F$104,MATCH(AVES!$C$7,'Base de dados'!$C$1:$F$1,0)+1,)</f>
        <v>65</v>
      </c>
      <c r="L2" s="18">
        <f>VLOOKUP(L1,'Base de dados'!$B$2:$F$104,MATCH(AVES!$C$7,'Base de dados'!$C$1:$F$1,0)+1,)</f>
        <v>116</v>
      </c>
      <c r="M2" s="18">
        <f>VLOOKUP(M1,'Base de dados'!$B$2:$F$104,MATCH(AVES!$C$7,'Base de dados'!$C$1:$F$1,0)+1,)</f>
        <v>175</v>
      </c>
      <c r="N2" s="18">
        <f>VLOOKUP(N1,'Base de dados'!$B$2:$F$104,MATCH(AVES!$C$7,'Base de dados'!$C$1:$F$1,0)+1,)</f>
        <v>245</v>
      </c>
      <c r="O2" s="18">
        <f>VLOOKUP(O1,'Base de dados'!$B$2:$F$104,MATCH(AVES!$C$7,'Base de dados'!$C$1:$F$1,0)+1,)</f>
        <v>325</v>
      </c>
      <c r="P2" s="18">
        <f>VLOOKUP(P1,'Base de dados'!$B$2:$F$104,MATCH(AVES!$C$7,'Base de dados'!$C$1:$F$1,0)+1,)</f>
        <v>410</v>
      </c>
      <c r="Q2" s="18">
        <f>VLOOKUP(Q1,'Base de dados'!$B$2:$F$104,MATCH(AVES!$C$7,'Base de dados'!$C$1:$F$1,0)+1,)</f>
        <v>496</v>
      </c>
      <c r="R2" s="18">
        <f>VLOOKUP(R1,'Base de dados'!$B$2:$F$104,MATCH(AVES!$C$7,'Base de dados'!$C$1:$F$1,0)+1,)</f>
        <v>582</v>
      </c>
      <c r="S2" s="18">
        <f>VLOOKUP(S1,'Base de dados'!$B$2:$F$104,MATCH(AVES!$C$7,'Base de dados'!$C$1:$F$1,0)+1,)</f>
        <v>665</v>
      </c>
      <c r="T2" s="18">
        <f>VLOOKUP(T1,'Base de dados'!$B$2:$F$104,MATCH(AVES!$C$7,'Base de dados'!$C$1:$F$1,0)+1,)</f>
        <v>745</v>
      </c>
      <c r="U2" s="18">
        <f>VLOOKUP(U1,'Base de dados'!$B$2:$F$104,MATCH(AVES!$C$7,'Base de dados'!$C$1:$F$1,0)+1,)</f>
        <v>822</v>
      </c>
      <c r="V2" s="18">
        <f>VLOOKUP(V1,'Base de dados'!$B$2:$F$104,MATCH(AVES!$C$7,'Base de dados'!$C$1:$F$1,0)+1,)</f>
        <v>896</v>
      </c>
      <c r="W2" s="18">
        <f>VLOOKUP(W1,'Base de dados'!$B$2:$F$104,MATCH(AVES!$C$7,'Base de dados'!$C$1:$F$1,0)+1,)</f>
        <v>967</v>
      </c>
      <c r="X2" s="18">
        <f>VLOOKUP(X1,'Base de dados'!$B$2:$F$104,MATCH(AVES!$C$7,'Base de dados'!$C$1:$F$1,0)+1,)</f>
        <v>1035</v>
      </c>
      <c r="Y2" s="18">
        <f>VLOOKUP(Y1,'Base de dados'!$B$2:$F$104,MATCH(AVES!$C$7,'Base de dados'!$C$1:$F$1,0)+1,)</f>
        <v>1101</v>
      </c>
      <c r="Z2" s="18">
        <f>VLOOKUP(Z1,'Base de dados'!$B$2:$F$104,MATCH(AVES!$C$7,'Base de dados'!$C$1:$F$1,0)+1,)</f>
        <v>1168</v>
      </c>
      <c r="AA2" s="18">
        <f>VLOOKUP(AA1,'Base de dados'!$B$2:$F$104,MATCH(AVES!$C$7,'Base de dados'!$C$1:$F$1,0)+1,)</f>
        <v>1235</v>
      </c>
      <c r="AB2" s="18">
        <f>VLOOKUP(AB1,'Base de dados'!$B$2:$F$104,MATCH(AVES!$C$7,'Base de dados'!$C$1:$F$1,0)+1,)</f>
        <v>1300</v>
      </c>
      <c r="AC2" s="18">
        <f>VLOOKUP(AC1,'Base de dados'!$B$2:$F$104,MATCH(AVES!$C$7,'Base de dados'!$C$1:$F$1,0)+1,)</f>
        <v>1358</v>
      </c>
      <c r="AD2" s="18">
        <f>VLOOKUP(AD1,'Base de dados'!$B$2:$F$104,MATCH(AVES!$C$7,'Base de dados'!$C$1:$F$1,0)+1,)</f>
        <v>1408</v>
      </c>
      <c r="AE2" s="18">
        <f>VLOOKUP(AE1,'Base de dados'!$B$2:$F$104,MATCH(AVES!$C$7,'Base de dados'!$C$1:$F$1,0)+1,)</f>
        <v>1450</v>
      </c>
      <c r="AF2" s="18">
        <f>VLOOKUP(AF1,'Base de dados'!$B$2:$F$104,MATCH(AVES!$C$7,'Base de dados'!$C$1:$F$1,0)+1,)</f>
        <v>1486</v>
      </c>
      <c r="AG2" s="18">
        <f>VLOOKUP(AG1,'Base de dados'!$B$2:$F$104,MATCH(AVES!$C$7,'Base de dados'!$C$1:$F$1,0)+1,)</f>
        <v>1516</v>
      </c>
      <c r="AH2" s="18">
        <f>VLOOKUP(AH1,'Base de dados'!$B$2:$F$104,MATCH(AVES!$C$7,'Base de dados'!$C$1:$F$1,0)+1,)</f>
        <v>1540</v>
      </c>
      <c r="AI2" s="18">
        <f>VLOOKUP(AI1,'Base de dados'!$B$2:$F$104,MATCH(AVES!$C$7,'Base de dados'!$C$1:$F$1,0)+1,)</f>
        <v>1559</v>
      </c>
      <c r="AJ2" s="18">
        <f>VLOOKUP(AJ1,'Base de dados'!$B$2:$F$104,MATCH(AVES!$C$7,'Base de dados'!$C$1:$F$1,0)+1,)</f>
        <v>1574</v>
      </c>
      <c r="AK2" s="18">
        <f>VLOOKUP(AK1,'Base de dados'!$B$2:$F$104,MATCH(AVES!$C$7,'Base de dados'!$C$1:$F$1,0)+1,)</f>
        <v>1584</v>
      </c>
      <c r="AL2" s="18">
        <f>VLOOKUP(AL1,'Base de dados'!$B$2:$F$104,MATCH(AVES!$C$7,'Base de dados'!$C$1:$F$1,0)+1,)</f>
        <v>1590</v>
      </c>
      <c r="AM2" s="18">
        <f>VLOOKUP(AM1,'Base de dados'!$B$2:$F$104,MATCH(AVES!$C$7,'Base de dados'!$C$1:$F$1,0)+1,)</f>
        <v>1594</v>
      </c>
      <c r="AN2" s="18">
        <f>VLOOKUP(AN1,'Base de dados'!$B$2:$F$104,MATCH(AVES!$C$7,'Base de dados'!$C$1:$F$1,0)+1,)</f>
        <v>1597</v>
      </c>
      <c r="AO2" s="18">
        <f>VLOOKUP(AO1,'Base de dados'!$B$2:$F$104,MATCH(AVES!$C$7,'Base de dados'!$C$1:$F$1,0)+1,)</f>
        <v>1600</v>
      </c>
      <c r="AP2" s="18">
        <f>VLOOKUP(AP1,'Base de dados'!$B$2:$F$104,MATCH(AVES!$C$7,'Base de dados'!$C$1:$F$1,0)+1,)</f>
        <v>1603</v>
      </c>
      <c r="AQ2" s="18">
        <f>VLOOKUP(AQ1,'Base de dados'!$B$2:$F$104,MATCH(AVES!$C$7,'Base de dados'!$C$1:$F$1,0)+1,)</f>
        <v>1606</v>
      </c>
      <c r="AR2" s="18">
        <f>VLOOKUP(AR1,'Base de dados'!$B$2:$F$104,MATCH(AVES!$C$7,'Base de dados'!$C$1:$F$1,0)+1,)</f>
        <v>1609</v>
      </c>
      <c r="AS2" s="18">
        <f>VLOOKUP(AS1,'Base de dados'!$B$2:$F$104,MATCH(AVES!$C$7,'Base de dados'!$C$1:$F$1,0)+1,)</f>
        <v>1612</v>
      </c>
      <c r="AT2" s="18">
        <f>VLOOKUP(AT1,'Base de dados'!$B$2:$F$104,MATCH(AVES!$C$7,'Base de dados'!$C$1:$F$1,0)+1,)</f>
        <v>1615</v>
      </c>
      <c r="AU2" s="18">
        <f>VLOOKUP(AU1,'Base de dados'!$B$2:$F$104,MATCH(AVES!$C$7,'Base de dados'!$C$1:$F$1,0)+1,)</f>
        <v>1618</v>
      </c>
      <c r="AV2" s="18">
        <f>VLOOKUP(AV1,'Base de dados'!$B$2:$F$104,MATCH(AVES!$C$7,'Base de dados'!$C$1:$F$1,0)+1,)</f>
        <v>1621</v>
      </c>
      <c r="AW2" s="18">
        <f>VLOOKUP(AW1,'Base de dados'!$B$2:$F$104,MATCH(AVES!$C$7,'Base de dados'!$C$1:$F$1,0)+1,)</f>
        <v>1624</v>
      </c>
      <c r="AX2" s="18">
        <f>VLOOKUP(AX1,'Base de dados'!$B$2:$F$104,MATCH(AVES!$C$7,'Base de dados'!$C$1:$F$1,0)+1,)</f>
        <v>1626</v>
      </c>
      <c r="AY2" s="18">
        <f>VLOOKUP(AY1,'Base de dados'!$B$2:$F$104,MATCH(AVES!$C$7,'Base de dados'!$C$1:$F$1,0)+1,)</f>
        <v>1628</v>
      </c>
      <c r="AZ2" s="18">
        <f>VLOOKUP(AZ1,'Base de dados'!$B$2:$F$104,MATCH(AVES!$C$7,'Base de dados'!$C$1:$F$1,0)+1,)</f>
        <v>1630</v>
      </c>
      <c r="BA2" s="18">
        <f>VLOOKUP(BA1,'Base de dados'!$B$2:$F$104,MATCH(AVES!$C$7,'Base de dados'!$C$1:$F$1,0)+1,)</f>
        <v>1632</v>
      </c>
      <c r="BB2" s="18">
        <f>VLOOKUP(BB1,'Base de dados'!$B$2:$F$104,MATCH(AVES!$C$7,'Base de dados'!$C$1:$F$1,0)+1,)</f>
        <v>1634</v>
      </c>
      <c r="BC2" s="18">
        <f>VLOOKUP(BC1,'Base de dados'!$B$2:$F$104,MATCH(AVES!$C$7,'Base de dados'!$C$1:$F$1,0)+1,)</f>
        <v>1636</v>
      </c>
      <c r="BD2" s="18">
        <f>VLOOKUP(BD1,'Base de dados'!$B$2:$F$104,MATCH(AVES!$C$7,'Base de dados'!$C$1:$F$1,0)+1,)</f>
        <v>1638</v>
      </c>
      <c r="BE2" s="18">
        <f>VLOOKUP(BE1,'Base de dados'!$B$2:$F$104,MATCH(AVES!$C$7,'Base de dados'!$C$1:$F$1,0)+1,)</f>
        <v>1640</v>
      </c>
      <c r="BF2" s="18">
        <f>VLOOKUP(BF1,'Base de dados'!$B$2:$F$104,MATCH(AVES!$C$7,'Base de dados'!$C$1:$F$1,0)+1,)</f>
        <v>1642</v>
      </c>
      <c r="BG2" s="18">
        <f>VLOOKUP(BG1,'Base de dados'!$B$2:$F$104,MATCH(AVES!$C$7,'Base de dados'!$C$1:$F$1,0)+1,)</f>
        <v>1644</v>
      </c>
      <c r="BH2" s="18">
        <f>VLOOKUP(BH1,'Base de dados'!$B$2:$F$104,MATCH(AVES!$C$7,'Base de dados'!$C$1:$F$1,0)+1,)</f>
        <v>1646</v>
      </c>
      <c r="BI2" s="18">
        <f>VLOOKUP(BI1,'Base de dados'!$B$2:$F$104,MATCH(AVES!$C$7,'Base de dados'!$C$1:$F$1,0)+1,)</f>
        <v>1648</v>
      </c>
      <c r="BJ2" s="18">
        <f>VLOOKUP(BJ1,'Base de dados'!$B$2:$F$104,MATCH(AVES!$C$7,'Base de dados'!$C$1:$F$1,0)+1,)</f>
        <v>1650</v>
      </c>
      <c r="BK2" s="18">
        <f>VLOOKUP(BK1,'Base de dados'!$B$2:$F$104,MATCH(AVES!$C$7,'Base de dados'!$C$1:$F$1,0)+1,)</f>
        <v>1652</v>
      </c>
      <c r="BL2" s="18">
        <f>VLOOKUP(BL1,'Base de dados'!$B$2:$F$104,MATCH(AVES!$C$7,'Base de dados'!$C$1:$F$1,0)+1,)</f>
        <v>1654</v>
      </c>
      <c r="BM2" s="18">
        <f>VLOOKUP(BM1,'Base de dados'!$B$2:$F$104,MATCH(AVES!$C$7,'Base de dados'!$C$1:$F$1,0)+1,)</f>
        <v>1656</v>
      </c>
      <c r="BN2" s="18">
        <f>VLOOKUP(BN1,'Base de dados'!$B$2:$F$104,MATCH(AVES!$C$7,'Base de dados'!$C$1:$F$1,0)+1,)</f>
        <v>1658</v>
      </c>
      <c r="BO2" s="18">
        <f>VLOOKUP(BO1,'Base de dados'!$B$2:$F$104,MATCH(AVES!$C$7,'Base de dados'!$C$1:$F$1,0)+1,)</f>
        <v>1660</v>
      </c>
      <c r="BP2" s="18">
        <f>VLOOKUP(BP1,'Base de dados'!$B$2:$F$104,MATCH(AVES!$C$7,'Base de dados'!$C$1:$F$1,0)+1,)</f>
        <v>1662</v>
      </c>
      <c r="BQ2" s="18">
        <f>VLOOKUP(BQ1,'Base de dados'!$B$2:$F$104,MATCH(AVES!$C$7,'Base de dados'!$C$1:$F$1,0)+1,)</f>
        <v>1664</v>
      </c>
      <c r="BR2" s="18">
        <f>VLOOKUP(BR1,'Base de dados'!$B$2:$F$104,MATCH(AVES!$C$7,'Base de dados'!$C$1:$F$1,0)+1,)</f>
        <v>1666</v>
      </c>
      <c r="BS2" s="18">
        <f>VLOOKUP(BS1,'Base de dados'!$B$2:$F$104,MATCH(AVES!$C$7,'Base de dados'!$C$1:$F$1,0)+1,)</f>
        <v>1668</v>
      </c>
      <c r="BT2" s="18">
        <f>VLOOKUP(BT1,'Base de dados'!$B$2:$F$104,MATCH(AVES!$C$7,'Base de dados'!$C$1:$F$1,0)+1,)</f>
        <v>1670</v>
      </c>
      <c r="BU2" s="18">
        <f>VLOOKUP(BU1,'Base de dados'!$B$2:$F$104,MATCH(AVES!$C$7,'Base de dados'!$C$1:$F$1,0)+1,)</f>
        <v>1672</v>
      </c>
      <c r="BV2" s="18">
        <f>VLOOKUP(BV1,'Base de dados'!$B$2:$F$104,MATCH(AVES!$C$7,'Base de dados'!$C$1:$F$1,0)+1,)</f>
        <v>1674</v>
      </c>
      <c r="BW2" s="18">
        <f>VLOOKUP(BW1,'Base de dados'!$B$2:$F$104,MATCH(AVES!$C$7,'Base de dados'!$C$1:$F$1,0)+1,)</f>
        <v>1676</v>
      </c>
      <c r="BX2" s="18">
        <f>VLOOKUP(BX1,'Base de dados'!$B$2:$F$104,MATCH(AVES!$C$7,'Base de dados'!$C$1:$F$1,0)+1,)</f>
        <v>1678</v>
      </c>
      <c r="BY2" s="18">
        <f>VLOOKUP(BY1,'Base de dados'!$B$2:$F$104,MATCH(AVES!$C$7,'Base de dados'!$C$1:$F$1,0)+1,)</f>
        <v>1680</v>
      </c>
      <c r="BZ2" s="18">
        <f>VLOOKUP(BZ1,'Base de dados'!$B$2:$F$104,MATCH(AVES!$C$7,'Base de dados'!$C$1:$F$1,0)+1,)</f>
        <v>1682</v>
      </c>
      <c r="CA2" s="18">
        <f>VLOOKUP(CA1,'Base de dados'!$B$2:$F$104,MATCH(AVES!$C$7,'Base de dados'!$C$1:$F$1,0)+1,)</f>
        <v>1684</v>
      </c>
      <c r="CB2" s="18">
        <f>VLOOKUP(CB1,'Base de dados'!$B$2:$F$104,MATCH(AVES!$C$7,'Base de dados'!$C$1:$F$1,0)+1,)</f>
        <v>1686</v>
      </c>
      <c r="CC2" s="18">
        <f>VLOOKUP(CC1,'Base de dados'!$B$2:$F$104,MATCH(AVES!$C$7,'Base de dados'!$C$1:$F$1,0)+1,)</f>
        <v>1688</v>
      </c>
      <c r="CD2" s="18">
        <f>VLOOKUP(CD1,'Base de dados'!$B$2:$F$104,MATCH(AVES!$C$7,'Base de dados'!$C$1:$F$1,0)+1,)</f>
        <v>1690</v>
      </c>
      <c r="CE2" s="18">
        <f>VLOOKUP(CE1,'Base de dados'!$B$2:$F$104,MATCH(AVES!$C$7,'Base de dados'!$C$1:$F$1,0)+1,)</f>
        <v>1692</v>
      </c>
      <c r="CF2" s="18">
        <f>VLOOKUP(CF1,'Base de dados'!$B$2:$F$104,MATCH(AVES!$C$7,'Base de dados'!$C$1:$F$1,0)+1,)</f>
        <v>1694</v>
      </c>
      <c r="CG2" s="18">
        <f>VLOOKUP(CG1,'Base de dados'!$B$2:$F$104,MATCH(AVES!$C$7,'Base de dados'!$C$1:$F$1,0)+1,)</f>
        <v>1696</v>
      </c>
      <c r="CH2" s="18">
        <f>VLOOKUP(CH1,'Base de dados'!$B$2:$F$104,MATCH(AVES!$C$7,'Base de dados'!$C$1:$F$1,0)+1,)</f>
        <v>1698</v>
      </c>
      <c r="CI2" s="18">
        <f>VLOOKUP(CI1,'Base de dados'!$B$2:$F$104,MATCH(AVES!$C$7,'Base de dados'!$C$1:$F$1,0)+1,)</f>
        <v>1700</v>
      </c>
      <c r="CJ2" s="18">
        <f>VLOOKUP(CJ1,'Base de dados'!$B$2:$F$104,MATCH(AVES!$C$7,'Base de dados'!$C$1:$F$1,0)+1,)</f>
        <v>1702</v>
      </c>
      <c r="CK2" s="18">
        <f>VLOOKUP(CK1,'Base de dados'!$B$2:$F$104,MATCH(AVES!$C$7,'Base de dados'!$C$1:$F$1,0)+1,)</f>
        <v>1704</v>
      </c>
      <c r="CL2" s="18">
        <f>VLOOKUP(CL1,'Base de dados'!$B$2:$F$104,MATCH(AVES!$C$7,'Base de dados'!$C$1:$F$1,0)+1,)</f>
        <v>1705</v>
      </c>
      <c r="CM2" s="18">
        <f>VLOOKUP(CM1,'Base de dados'!$B$2:$F$104,MATCH(AVES!$C$7,'Base de dados'!$C$1:$F$1,0)+1,)</f>
        <v>1706</v>
      </c>
      <c r="CN2" s="18">
        <f>VLOOKUP(CN1,'Base de dados'!$B$2:$F$104,MATCH(AVES!$C$7,'Base de dados'!$C$1:$F$1,0)+1,)</f>
        <v>1707</v>
      </c>
      <c r="CO2" s="18">
        <f>VLOOKUP(CO1,'Base de dados'!$B$2:$F$104,MATCH(AVES!$C$7,'Base de dados'!$C$1:$F$1,0)+1,)</f>
        <v>1708</v>
      </c>
      <c r="CP2" s="18">
        <f>VLOOKUP(CP1,'Base de dados'!$B$2:$F$104,MATCH(AVES!$C$7,'Base de dados'!$C$1:$F$1,0)+1,)</f>
        <v>1709</v>
      </c>
      <c r="CQ2" s="18">
        <f>VLOOKUP(CQ1,'Base de dados'!$B$2:$F$104,MATCH(AVES!$C$7,'Base de dados'!$C$1:$F$1,0)+1,)</f>
        <v>1710</v>
      </c>
      <c r="CR2" s="18">
        <f>VLOOKUP(CR1,'Base de dados'!$B$2:$F$104,MATCH(AVES!$C$7,'Base de dados'!$C$1:$F$1,0)+1,)</f>
        <v>1711</v>
      </c>
      <c r="CS2" s="18">
        <f>VLOOKUP(CS1,'Base de dados'!$B$2:$F$104,MATCH(AVES!$C$7,'Base de dados'!$C$1:$F$1,0)+1,)</f>
        <v>1712</v>
      </c>
      <c r="CT2" s="18">
        <f>VLOOKUP(CT1,'Base de dados'!$B$2:$F$104,MATCH(AVES!$C$7,'Base de dados'!$C$1:$F$1,0)+1,)</f>
        <v>1713</v>
      </c>
      <c r="CU2" s="18">
        <f>VLOOKUP(CU1,'Base de dados'!$B$2:$F$104,MATCH(AVES!$C$7,'Base de dados'!$C$1:$F$1,0)+1,)</f>
        <v>1714</v>
      </c>
      <c r="CV2" s="18">
        <f>VLOOKUP(CV1,'Base de dados'!$B$2:$F$104,MATCH(AVES!$C$7,'Base de dados'!$C$1:$F$1,0)+1,)</f>
        <v>1715</v>
      </c>
      <c r="CW2" s="18">
        <f>VLOOKUP(CW1,'Base de dados'!$B$2:$F$104,MATCH(AVES!$C$7,'Base de dados'!$C$1:$F$1,0)+1,)</f>
        <v>1716</v>
      </c>
      <c r="CX2" s="18">
        <f>VLOOKUP(CX1,'Base de dados'!$B$2:$F$104,MATCH(AVES!$C$7,'Base de dados'!$C$1:$F$1,0)+1,)</f>
        <v>1717</v>
      </c>
      <c r="CY2" s="18">
        <f>VLOOKUP(CY1,'Base de dados'!$B$2:$F$104,MATCH(AVES!$C$7,'Base de dados'!$C$1:$F$1,0)+1,)</f>
        <v>1718</v>
      </c>
      <c r="CZ2" s="18">
        <f>VLOOKUP(CZ1,'Base de dados'!$B$2:$F$104,MATCH(AVES!$C$7,'Base de dados'!$C$1:$F$1,0)+1,)</f>
        <v>1719</v>
      </c>
      <c r="DA2" s="18">
        <f>VLOOKUP(DA1,'Base de dados'!$B$2:$F$104,MATCH(AVES!$C$7,'Base de dados'!$C$1:$F$1,0)+1,)</f>
        <v>1720</v>
      </c>
      <c r="DB2" s="18">
        <f>VLOOKUP(DB1,'Base de dados'!$B$2:$F$104,MATCH(AVES!$C$7,'Base de dados'!$C$1:$F$1,0)+1,)</f>
        <v>1721</v>
      </c>
      <c r="DC2" s="18">
        <f>VLOOKUP(DC1,'Base de dados'!$B$2:$F$104,MATCH(AVES!$C$7,'Base de dados'!$C$1:$F$1,0)+1,)</f>
        <v>1722</v>
      </c>
      <c r="DD2" s="18">
        <f>VLOOKUP(DD1,'Base de dados'!$B$2:$F$104,MATCH(AVES!$C$7,'Base de dados'!$C$1:$F$1,0)+1,)</f>
        <v>1723</v>
      </c>
      <c r="DE2" s="18">
        <f>VLOOKUP(DE1,'Base de dados'!$B$2:$F$104,MATCH(AVES!$C$7,'Base de dados'!$C$1:$F$1,0)+1,)</f>
        <v>1724</v>
      </c>
      <c r="DF2" s="18">
        <f>VLOOKUP(DF1,'Base de dados'!$B$2:$F$104,MATCH(AVES!$C$7,'Base de dados'!$C$1:$F$1,0)+1,)</f>
        <v>1725</v>
      </c>
    </row>
    <row r="3" spans="1:110" ht="27" customHeight="1" x14ac:dyDescent="0.25">
      <c r="B3" s="7" t="s">
        <v>0</v>
      </c>
      <c r="C3" s="98" t="s">
        <v>877</v>
      </c>
      <c r="D3" s="99"/>
      <c r="E3" s="100"/>
      <c r="G3" s="19" t="s">
        <v>7</v>
      </c>
      <c r="H3" s="67" t="str">
        <f>IFERROR(AVERAGE(Tabela2[Matriz A]),"")</f>
        <v/>
      </c>
      <c r="I3" s="67" t="str">
        <f>IFERROR(AVERAGE(Tabela2[Matriz B]),"")</f>
        <v/>
      </c>
      <c r="J3" s="67" t="str">
        <f>IFERROR(AVERAGE(Tabela2[Matriz C]),"")</f>
        <v/>
      </c>
      <c r="K3" s="67" t="str">
        <f>IFERROR(AVERAGE(Tabela2[1]),"")</f>
        <v/>
      </c>
      <c r="L3" s="67" t="str">
        <f>IFERROR(AVERAGE(Tabela2[2]),"")</f>
        <v/>
      </c>
      <c r="M3" s="67" t="str">
        <f>IFERROR(AVERAGE(Tabela2[3]),"")</f>
        <v/>
      </c>
      <c r="N3" s="67" t="str">
        <f>IFERROR(AVERAGE(Tabela2[4]),"")</f>
        <v/>
      </c>
      <c r="O3" s="67" t="str">
        <f>IFERROR(AVERAGE(Tabela2[5]),"")</f>
        <v/>
      </c>
      <c r="P3" s="67" t="str">
        <f>IFERROR(AVERAGE(Tabela2[6]),"")</f>
        <v/>
      </c>
      <c r="Q3" s="67" t="str">
        <f>IFERROR(AVERAGE(Tabela2[7]),"")</f>
        <v/>
      </c>
      <c r="R3" s="67" t="str">
        <f>IFERROR(AVERAGE(Tabela2[8]),"")</f>
        <v/>
      </c>
      <c r="S3" s="67" t="str">
        <f>IFERROR(AVERAGE(Tabela2[9]),"")</f>
        <v/>
      </c>
      <c r="T3" s="67" t="str">
        <f>IFERROR(AVERAGE(Tabela2[10]),"")</f>
        <v/>
      </c>
      <c r="U3" s="67" t="str">
        <f>IFERROR(AVERAGE(Tabela2[11]),"")</f>
        <v/>
      </c>
      <c r="V3" s="67" t="str">
        <f>IFERROR(AVERAGE(Tabela2[12]),"")</f>
        <v/>
      </c>
      <c r="W3" s="67" t="str">
        <f>IFERROR(AVERAGE(Tabela2[13]),"")</f>
        <v/>
      </c>
      <c r="X3" s="67" t="str">
        <f>IFERROR(AVERAGE(Tabela2[14]),"")</f>
        <v/>
      </c>
      <c r="Y3" s="67" t="str">
        <f>IFERROR(AVERAGE(Tabela2[15]),"")</f>
        <v/>
      </c>
      <c r="Z3" s="67" t="str">
        <f>IFERROR(AVERAGE(Tabela2[16]),"")</f>
        <v/>
      </c>
      <c r="AA3" s="67" t="str">
        <f>IFERROR(AVERAGE(Tabela2[17]),"")</f>
        <v/>
      </c>
      <c r="AB3" s="67" t="str">
        <f>IFERROR(AVERAGE(Tabela2[18]),"")</f>
        <v/>
      </c>
      <c r="AC3" s="67" t="str">
        <f>IFERROR(AVERAGE(Tabela2[19]),"")</f>
        <v/>
      </c>
      <c r="AD3" s="67" t="str">
        <f>IFERROR(AVERAGE(Tabela2[20]),"")</f>
        <v/>
      </c>
      <c r="AE3" s="67" t="str">
        <f>IFERROR(AVERAGE(Tabela2[21]),"")</f>
        <v/>
      </c>
      <c r="AF3" s="67" t="str">
        <f>IFERROR(AVERAGE(Tabela2[22]),"")</f>
        <v/>
      </c>
      <c r="AG3" s="67" t="str">
        <f>IFERROR(AVERAGE(Tabela2[23]),"")</f>
        <v/>
      </c>
      <c r="AH3" s="67" t="str">
        <f>IFERROR(AVERAGE(Tabela2[24]),"")</f>
        <v/>
      </c>
      <c r="AI3" s="67" t="str">
        <f>IFERROR(AVERAGE(Tabela2[25]),"")</f>
        <v/>
      </c>
      <c r="AJ3" s="67" t="str">
        <f>IFERROR(AVERAGE(Tabela2[26]),"")</f>
        <v/>
      </c>
      <c r="AK3" s="67" t="str">
        <f>IFERROR(AVERAGE(Tabela2[27]),"")</f>
        <v/>
      </c>
      <c r="AL3" s="67" t="str">
        <f>IFERROR(AVERAGE(Tabela2[28]),"")</f>
        <v/>
      </c>
      <c r="AM3" s="67" t="str">
        <f>IFERROR(AVERAGE(Tabela2[29]),"")</f>
        <v/>
      </c>
      <c r="AN3" s="67" t="str">
        <f>IFERROR(AVERAGE(Tabela2[30]),"")</f>
        <v/>
      </c>
      <c r="AO3" s="67" t="str">
        <f>IFERROR(AVERAGE(Tabela2[31]),"")</f>
        <v/>
      </c>
      <c r="AP3" s="67" t="str">
        <f>IFERROR(AVERAGE(Tabela2[32]),"")</f>
        <v/>
      </c>
      <c r="AQ3" s="67" t="str">
        <f>IFERROR(AVERAGE(Tabela2[33]),"")</f>
        <v/>
      </c>
      <c r="AR3" s="67" t="str">
        <f>IFERROR(AVERAGE(Tabela2[34]),"")</f>
        <v/>
      </c>
      <c r="AS3" s="67" t="str">
        <f>IFERROR(AVERAGE(Tabela2[35]),"")</f>
        <v/>
      </c>
      <c r="AT3" s="67" t="str">
        <f>IFERROR(AVERAGE(Tabela2[36]),"")</f>
        <v/>
      </c>
      <c r="AU3" s="67" t="str">
        <f>IFERROR(AVERAGE(Tabela2[37]),"")</f>
        <v/>
      </c>
      <c r="AV3" s="67" t="str">
        <f>IFERROR(AVERAGE(Tabela2[38]),"")</f>
        <v/>
      </c>
      <c r="AW3" s="67" t="str">
        <f>IFERROR(AVERAGE(Tabela2[39]),"")</f>
        <v/>
      </c>
      <c r="AX3" s="67" t="str">
        <f>IFERROR(AVERAGE(Tabela2[40]),"")</f>
        <v/>
      </c>
      <c r="AY3" s="67" t="str">
        <f>IFERROR(AVERAGE(Tabela2[41]),"")</f>
        <v/>
      </c>
      <c r="AZ3" s="67" t="str">
        <f>IFERROR(AVERAGE(Tabela2[42]),"")</f>
        <v/>
      </c>
      <c r="BA3" s="67" t="str">
        <f>IFERROR(AVERAGE(Tabela2[43]),"")</f>
        <v/>
      </c>
      <c r="BB3" s="67" t="str">
        <f>IFERROR(AVERAGE(Tabela2[44]),"")</f>
        <v/>
      </c>
      <c r="BC3" s="67" t="str">
        <f>IFERROR(AVERAGE(Tabela2[45]),"")</f>
        <v/>
      </c>
      <c r="BD3" s="67" t="str">
        <f>IFERROR(AVERAGE(Tabela2[46]),"")</f>
        <v/>
      </c>
      <c r="BE3" s="67" t="str">
        <f>IFERROR(AVERAGE(Tabela2[47]),"")</f>
        <v/>
      </c>
      <c r="BF3" s="67" t="str">
        <f>IFERROR(AVERAGE(Tabela2[48]),"")</f>
        <v/>
      </c>
      <c r="BG3" s="67" t="str">
        <f>IFERROR(AVERAGE(Tabela2[49]),"")</f>
        <v/>
      </c>
      <c r="BH3" s="67" t="str">
        <f>IFERROR(AVERAGE(Tabela2[50]),"")</f>
        <v/>
      </c>
      <c r="BI3" s="67" t="str">
        <f>IFERROR(AVERAGE(Tabela2[51]),"")</f>
        <v/>
      </c>
      <c r="BJ3" s="67" t="str">
        <f>IFERROR(AVERAGE(Tabela2[52]),"")</f>
        <v/>
      </c>
      <c r="BK3" s="67" t="str">
        <f>IFERROR(AVERAGE(Tabela2[53]),"")</f>
        <v/>
      </c>
      <c r="BL3" s="67" t="str">
        <f>IFERROR(AVERAGE(Tabela2[54]),"")</f>
        <v/>
      </c>
      <c r="BM3" s="67" t="str">
        <f>IFERROR(AVERAGE(Tabela2[55]),"")</f>
        <v/>
      </c>
      <c r="BN3" s="67" t="str">
        <f>IFERROR(AVERAGE(Tabela2[56]),"")</f>
        <v/>
      </c>
      <c r="BO3" s="67" t="str">
        <f>IFERROR(AVERAGE(Tabela2[57]),"")</f>
        <v/>
      </c>
      <c r="BP3" s="67" t="str">
        <f>IFERROR(AVERAGE(Tabela2[58]),"")</f>
        <v/>
      </c>
      <c r="BQ3" s="67" t="str">
        <f>IFERROR(AVERAGE(Tabela2[59]),"")</f>
        <v/>
      </c>
      <c r="BR3" s="67" t="str">
        <f>IFERROR(AVERAGE(Tabela2[60]),"")</f>
        <v/>
      </c>
      <c r="BS3" s="67" t="str">
        <f>IFERROR(AVERAGE(Tabela2[61]),"")</f>
        <v/>
      </c>
      <c r="BT3" s="67" t="str">
        <f>IFERROR(AVERAGE(Tabela2[62]),"")</f>
        <v/>
      </c>
      <c r="BU3" s="67" t="str">
        <f>IFERROR(AVERAGE(Tabela2[63]),"")</f>
        <v/>
      </c>
      <c r="BV3" s="67" t="str">
        <f>IFERROR(AVERAGE(Tabela2[64]),"")</f>
        <v/>
      </c>
      <c r="BW3" s="67" t="str">
        <f>IFERROR(AVERAGE(Tabela2[65]),"")</f>
        <v/>
      </c>
      <c r="BX3" s="67" t="str">
        <f>IFERROR(AVERAGE(Tabela2[66]),"")</f>
        <v/>
      </c>
      <c r="BY3" s="67" t="str">
        <f>IFERROR(AVERAGE(Tabela2[67]),"")</f>
        <v/>
      </c>
      <c r="BZ3" s="67" t="str">
        <f>IFERROR(AVERAGE(Tabela2[68]),"")</f>
        <v/>
      </c>
      <c r="CA3" s="67" t="str">
        <f>IFERROR(AVERAGE(Tabela2[69]),"")</f>
        <v/>
      </c>
      <c r="CB3" s="67" t="str">
        <f>IFERROR(AVERAGE(Tabela2[70]),"")</f>
        <v/>
      </c>
      <c r="CC3" s="67" t="str">
        <f>IFERROR(AVERAGE(Tabela2[71]),"")</f>
        <v/>
      </c>
      <c r="CD3" s="67" t="str">
        <f>IFERROR(AVERAGE(Tabela2[72]),"")</f>
        <v/>
      </c>
      <c r="CE3" s="67" t="str">
        <f>IFERROR(AVERAGE(Tabela2[73]),"")</f>
        <v/>
      </c>
      <c r="CF3" s="67" t="str">
        <f>IFERROR(AVERAGE(Tabela2[74]),"")</f>
        <v/>
      </c>
      <c r="CG3" s="67" t="str">
        <f>IFERROR(AVERAGE(Tabela2[75]),"")</f>
        <v/>
      </c>
      <c r="CH3" s="67" t="str">
        <f>IFERROR(AVERAGE(Tabela2[76]),"")</f>
        <v/>
      </c>
      <c r="CI3" s="67" t="str">
        <f>IFERROR(AVERAGE(Tabela2[77]),"")</f>
        <v/>
      </c>
      <c r="CJ3" s="67" t="str">
        <f>IFERROR(AVERAGE(Tabela2[78]),"")</f>
        <v/>
      </c>
      <c r="CK3" s="67" t="str">
        <f>IFERROR(AVERAGE(Tabela2[79]),"")</f>
        <v/>
      </c>
      <c r="CL3" s="67" t="str">
        <f>IFERROR(AVERAGE(Tabela2[80]),"")</f>
        <v/>
      </c>
      <c r="CM3" s="67" t="str">
        <f>IFERROR(AVERAGE(Tabela2[81]),"")</f>
        <v/>
      </c>
      <c r="CN3" s="67" t="str">
        <f>IFERROR(AVERAGE(Tabela2[82]),"")</f>
        <v/>
      </c>
      <c r="CO3" s="67" t="str">
        <f>IFERROR(AVERAGE(Tabela2[83]),"")</f>
        <v/>
      </c>
      <c r="CP3" s="67" t="str">
        <f>IFERROR(AVERAGE(Tabela2[84]),"")</f>
        <v/>
      </c>
      <c r="CQ3" s="67" t="str">
        <f>IFERROR(AVERAGE(Tabela2[85]),"")</f>
        <v/>
      </c>
      <c r="CR3" s="67" t="str">
        <f>IFERROR(AVERAGE(Tabela2[86]),"")</f>
        <v/>
      </c>
      <c r="CS3" s="67" t="str">
        <f>IFERROR(AVERAGE(Tabela2[87]),"")</f>
        <v/>
      </c>
      <c r="CT3" s="67" t="str">
        <f>IFERROR(AVERAGE(Tabela2[88]),"")</f>
        <v/>
      </c>
      <c r="CU3" s="67" t="str">
        <f>IFERROR(AVERAGE(Tabela2[89]),"")</f>
        <v/>
      </c>
      <c r="CV3" s="67" t="str">
        <f>IFERROR(AVERAGE(Tabela2[90]),"")</f>
        <v/>
      </c>
      <c r="CW3" s="67" t="str">
        <f>IFERROR(AVERAGE(Tabela2[91]),"")</f>
        <v/>
      </c>
      <c r="CX3" s="67" t="str">
        <f>IFERROR(AVERAGE(Tabela2[92]),"")</f>
        <v/>
      </c>
      <c r="CY3" s="67" t="str">
        <f>IFERROR(AVERAGE(Tabela2[93]),"")</f>
        <v/>
      </c>
      <c r="CZ3" s="67" t="str">
        <f>IFERROR(AVERAGE(Tabela2[94]),"")</f>
        <v/>
      </c>
      <c r="DA3" s="67" t="str">
        <f>IFERROR(AVERAGE(Tabela2[95]),"")</f>
        <v/>
      </c>
      <c r="DB3" s="67" t="str">
        <f>IFERROR(AVERAGE(Tabela2[96]),"")</f>
        <v/>
      </c>
      <c r="DC3" s="67" t="str">
        <f>IFERROR(AVERAGE(Tabela2[97]),"")</f>
        <v/>
      </c>
      <c r="DD3" s="67" t="str">
        <f>IFERROR(AVERAGE(Tabela2[98]),"")</f>
        <v/>
      </c>
      <c r="DE3" s="67" t="str">
        <f>IFERROR(AVERAGE(Tabela2[99]),"")</f>
        <v/>
      </c>
      <c r="DF3" s="67" t="str">
        <f>IFERROR(AVERAGE(Tabela2[100]),"")</f>
        <v/>
      </c>
    </row>
    <row r="4" spans="1:110" s="72" customFormat="1" ht="1.5" customHeight="1" x14ac:dyDescent="0.25">
      <c r="A4" s="68"/>
      <c r="B4" s="69"/>
      <c r="C4" s="78"/>
      <c r="D4" s="79"/>
      <c r="E4" s="80"/>
      <c r="F4" s="68"/>
      <c r="G4" s="70" t="s">
        <v>525</v>
      </c>
      <c r="H4" s="71">
        <v>0.85</v>
      </c>
      <c r="I4" s="71">
        <v>0.85</v>
      </c>
      <c r="J4" s="71">
        <v>0.85</v>
      </c>
      <c r="K4" s="71">
        <v>0.85</v>
      </c>
      <c r="L4" s="71">
        <v>0.85</v>
      </c>
      <c r="M4" s="71">
        <v>0.85</v>
      </c>
      <c r="N4" s="71">
        <v>0.85</v>
      </c>
      <c r="O4" s="71">
        <v>0.85</v>
      </c>
      <c r="P4" s="71">
        <v>0.85</v>
      </c>
      <c r="Q4" s="71">
        <v>0.85</v>
      </c>
      <c r="R4" s="71">
        <v>0.85</v>
      </c>
      <c r="S4" s="71">
        <v>0.85</v>
      </c>
      <c r="T4" s="71">
        <v>0.85</v>
      </c>
      <c r="U4" s="71">
        <v>0.85</v>
      </c>
      <c r="V4" s="71">
        <v>0.85</v>
      </c>
      <c r="W4" s="71">
        <v>0.85</v>
      </c>
      <c r="X4" s="71">
        <v>0.85</v>
      </c>
      <c r="Y4" s="71">
        <v>0.85</v>
      </c>
      <c r="Z4" s="71">
        <v>0.85</v>
      </c>
      <c r="AA4" s="71">
        <v>0.85</v>
      </c>
      <c r="AB4" s="71">
        <v>0.85</v>
      </c>
      <c r="AC4" s="71">
        <v>0.85</v>
      </c>
      <c r="AD4" s="71">
        <v>0.85</v>
      </c>
      <c r="AE4" s="71">
        <v>0.85</v>
      </c>
      <c r="AF4" s="71">
        <v>0.85</v>
      </c>
      <c r="AG4" s="71">
        <v>0.85</v>
      </c>
      <c r="AH4" s="71">
        <v>0.85</v>
      </c>
      <c r="AI4" s="71">
        <v>0.85</v>
      </c>
      <c r="AJ4" s="71">
        <v>0.85</v>
      </c>
      <c r="AK4" s="71">
        <v>0.85</v>
      </c>
      <c r="AL4" s="71">
        <v>0.85</v>
      </c>
      <c r="AM4" s="71">
        <v>0.85</v>
      </c>
      <c r="AN4" s="71">
        <v>0.85</v>
      </c>
      <c r="AO4" s="71">
        <v>0.85</v>
      </c>
      <c r="AP4" s="71">
        <v>0.85</v>
      </c>
      <c r="AQ4" s="71">
        <v>0.85</v>
      </c>
      <c r="AR4" s="71">
        <v>0.85</v>
      </c>
      <c r="AS4" s="71">
        <v>0.85</v>
      </c>
      <c r="AT4" s="71">
        <v>0.85</v>
      </c>
      <c r="AU4" s="71">
        <v>0.85</v>
      </c>
      <c r="AV4" s="71">
        <v>0.85</v>
      </c>
      <c r="AW4" s="71">
        <v>0.85</v>
      </c>
      <c r="AX4" s="71">
        <v>0.85</v>
      </c>
      <c r="AY4" s="71">
        <v>0.85</v>
      </c>
      <c r="AZ4" s="71">
        <v>0.85</v>
      </c>
      <c r="BA4" s="71">
        <v>0.85</v>
      </c>
      <c r="BB4" s="71">
        <v>0.85</v>
      </c>
      <c r="BC4" s="71">
        <v>0.85</v>
      </c>
      <c r="BD4" s="71">
        <v>0.85</v>
      </c>
      <c r="BE4" s="71">
        <v>0.85</v>
      </c>
      <c r="BF4" s="71">
        <v>0.85</v>
      </c>
      <c r="BG4" s="71">
        <v>0.85</v>
      </c>
      <c r="BH4" s="71">
        <v>0.85</v>
      </c>
      <c r="BI4" s="71">
        <v>0.85</v>
      </c>
      <c r="BJ4" s="71">
        <v>0.85</v>
      </c>
      <c r="BK4" s="71">
        <v>0.85</v>
      </c>
      <c r="BL4" s="71">
        <v>0.85</v>
      </c>
      <c r="BM4" s="71">
        <v>0.85</v>
      </c>
      <c r="BN4" s="71">
        <v>0.85</v>
      </c>
      <c r="BO4" s="71">
        <v>0.85</v>
      </c>
      <c r="BP4" s="71">
        <v>0.85</v>
      </c>
      <c r="BQ4" s="71">
        <v>0.85</v>
      </c>
      <c r="BR4" s="71">
        <v>0.85</v>
      </c>
      <c r="BS4" s="71">
        <v>0.85</v>
      </c>
      <c r="BT4" s="71">
        <v>0.85</v>
      </c>
      <c r="BU4" s="71">
        <v>0.85</v>
      </c>
      <c r="BV4" s="71">
        <v>0.85</v>
      </c>
      <c r="BW4" s="71">
        <v>0.85</v>
      </c>
      <c r="BX4" s="71">
        <v>0.85</v>
      </c>
      <c r="BY4" s="71">
        <v>0.85</v>
      </c>
      <c r="BZ4" s="71">
        <v>0.85</v>
      </c>
      <c r="CA4" s="71">
        <v>0.85</v>
      </c>
      <c r="CB4" s="71">
        <v>0.85</v>
      </c>
      <c r="CC4" s="71">
        <v>0.85</v>
      </c>
      <c r="CD4" s="71">
        <v>0.85</v>
      </c>
      <c r="CE4" s="71">
        <v>0.85</v>
      </c>
      <c r="CF4" s="71">
        <v>0.85</v>
      </c>
      <c r="CG4" s="71">
        <v>0.85</v>
      </c>
      <c r="CH4" s="71">
        <v>0.85</v>
      </c>
      <c r="CI4" s="71">
        <v>0.85</v>
      </c>
      <c r="CJ4" s="71">
        <v>0.85</v>
      </c>
      <c r="CK4" s="71">
        <v>0.85</v>
      </c>
      <c r="CL4" s="71">
        <v>0.85</v>
      </c>
      <c r="CM4" s="71">
        <v>0.85</v>
      </c>
      <c r="CN4" s="71">
        <v>0.85</v>
      </c>
      <c r="CO4" s="71">
        <v>0.85</v>
      </c>
      <c r="CP4" s="71">
        <v>0.85</v>
      </c>
      <c r="CQ4" s="71">
        <v>0.85</v>
      </c>
      <c r="CR4" s="71">
        <v>0.85</v>
      </c>
      <c r="CS4" s="71">
        <v>0.85</v>
      </c>
      <c r="CT4" s="71">
        <v>0.85</v>
      </c>
      <c r="CU4" s="71">
        <v>0.85</v>
      </c>
      <c r="CV4" s="71">
        <v>0.85</v>
      </c>
      <c r="CW4" s="71">
        <v>0.85</v>
      </c>
      <c r="CX4" s="71">
        <v>0.85</v>
      </c>
      <c r="CY4" s="71">
        <v>0.85</v>
      </c>
      <c r="CZ4" s="71">
        <v>0.85</v>
      </c>
      <c r="DA4" s="71">
        <v>0.85</v>
      </c>
      <c r="DB4" s="71">
        <v>0.85</v>
      </c>
      <c r="DC4" s="71">
        <v>0.85</v>
      </c>
      <c r="DD4" s="71">
        <v>0.85</v>
      </c>
      <c r="DE4" s="71">
        <v>0.85</v>
      </c>
      <c r="DF4" s="71">
        <v>0.85</v>
      </c>
    </row>
    <row r="5" spans="1:110" ht="28.5" customHeight="1" x14ac:dyDescent="0.25">
      <c r="B5" s="7" t="s">
        <v>4</v>
      </c>
      <c r="C5" s="10">
        <v>44454</v>
      </c>
      <c r="D5" s="8" t="s">
        <v>315</v>
      </c>
      <c r="E5" s="9">
        <v>50000</v>
      </c>
      <c r="G5" s="19" t="s">
        <v>526</v>
      </c>
      <c r="H5" s="73" t="str">
        <f>IFERROR((COUNT(Tabela2[Matriz A])-SUM(AVES!H$7:H$8))/COUNT(Tabela2[Matriz A]),"")</f>
        <v/>
      </c>
      <c r="I5" s="73" t="str">
        <f>IFERROR((COUNT(Tabela2[Matriz B])-SUM(AVES!I$7:I$8))/COUNT(Tabela2[Matriz B]),"")</f>
        <v/>
      </c>
      <c r="J5" s="73" t="str">
        <f>IFERROR((COUNT(Tabela2[Matriz C])-SUM(AVES!J$7:J$8))/COUNT(Tabela2[Matriz C]),"")</f>
        <v/>
      </c>
      <c r="K5" s="73" t="str">
        <f>IFERROR((COUNT(Tabela2[1])-SUM(AVES!K$7:K$8))/COUNT(Tabela2[1]),"")</f>
        <v/>
      </c>
      <c r="L5" s="73" t="str">
        <f>IFERROR((COUNT(Tabela2[2])-SUM(AVES!L$7:L$8))/COUNT(Tabela2[2]),"")</f>
        <v/>
      </c>
      <c r="M5" s="73" t="str">
        <f>IFERROR((COUNT(Tabela2[3])-SUM(AVES!M$7:M$8))/COUNT(Tabela2[3]),"")</f>
        <v/>
      </c>
      <c r="N5" s="73" t="str">
        <f>IFERROR((COUNT(Tabela2[4])-SUM(AVES!N$7:N$8))/COUNT(Tabela2[4]),"")</f>
        <v/>
      </c>
      <c r="O5" s="73" t="str">
        <f>IFERROR((COUNT(Tabela2[5])-SUM(AVES!O$7:O$8))/COUNT(Tabela2[5]),"")</f>
        <v/>
      </c>
      <c r="P5" s="73" t="str">
        <f>IFERROR((COUNT(Tabela2[6])-SUM(AVES!P$7:P$8))/COUNT(Tabela2[6]),"")</f>
        <v/>
      </c>
      <c r="Q5" s="73" t="str">
        <f>IFERROR((COUNT(Tabela2[7])-SUM(AVES!Q$7:Q$8))/COUNT(Tabela2[7]),"")</f>
        <v/>
      </c>
      <c r="R5" s="73" t="str">
        <f>IFERROR((COUNT(Tabela2[8])-SUM(AVES!R$7:R$8))/COUNT(Tabela2[8]),"")</f>
        <v/>
      </c>
      <c r="S5" s="73" t="str">
        <f>IFERROR((COUNT(Tabela2[9])-SUM(AVES!S$7:S$8))/COUNT(Tabela2[9]),"")</f>
        <v/>
      </c>
      <c r="T5" s="73" t="str">
        <f>IFERROR((COUNT(Tabela2[10])-SUM(AVES!T$7:T$8))/COUNT(Tabela2[10]),"")</f>
        <v/>
      </c>
      <c r="U5" s="73" t="str">
        <f>IFERROR((COUNT(Tabela2[11])-SUM(AVES!U$7:U$8))/COUNT(Tabela2[11]),"")</f>
        <v/>
      </c>
      <c r="V5" s="73" t="str">
        <f>IFERROR((COUNT(Tabela2[12])-SUM(AVES!V$7:V$8))/COUNT(Tabela2[12]),"")</f>
        <v/>
      </c>
      <c r="W5" s="73" t="str">
        <f>IFERROR((COUNT(Tabela2[13])-SUM(AVES!W$7:W$8))/COUNT(Tabela2[13]),"")</f>
        <v/>
      </c>
      <c r="X5" s="73" t="str">
        <f>IFERROR((COUNT(Tabela2[14])-SUM(AVES!X$7:X$8))/COUNT(Tabela2[14]),"")</f>
        <v/>
      </c>
      <c r="Y5" s="73" t="str">
        <f>IFERROR((COUNT(Tabela2[15])-SUM(AVES!Y$7:Y$8))/COUNT(Tabela2[15]),"")</f>
        <v/>
      </c>
      <c r="Z5" s="73" t="str">
        <f>IFERROR((COUNT(Tabela2[16])-SUM(AVES!Z$7:Z$8))/COUNT(Tabela2[16]),"")</f>
        <v/>
      </c>
      <c r="AA5" s="73" t="str">
        <f>IFERROR((COUNT(Tabela2[17])-SUM(AVES!AA$7:AA$8))/COUNT(Tabela2[17]),"")</f>
        <v/>
      </c>
      <c r="AB5" s="73" t="str">
        <f>IFERROR((COUNT(Tabela2[18])-SUM(AVES!AB$7:AB$8))/COUNT(Tabela2[18]),"")</f>
        <v/>
      </c>
      <c r="AC5" s="73" t="str">
        <f>IFERROR((COUNT(Tabela2[19])-SUM(AVES!AC$7:AC$8))/COUNT(Tabela2[19]),"")</f>
        <v/>
      </c>
      <c r="AD5" s="73" t="str">
        <f>IFERROR((COUNT(Tabela2[20])-SUM(AVES!AD$7:AD$8))/COUNT(Tabela2[20]),"")</f>
        <v/>
      </c>
      <c r="AE5" s="73" t="str">
        <f>IFERROR((COUNT(Tabela2[21])-SUM(AVES!AE$7:AE$8))/COUNT(Tabela2[21]),"")</f>
        <v/>
      </c>
      <c r="AF5" s="73" t="str">
        <f>IFERROR((COUNT(Tabela2[22])-SUM(AVES!AF$7:AF$8))/COUNT(Tabela2[22]),"")</f>
        <v/>
      </c>
      <c r="AG5" s="73" t="str">
        <f>IFERROR((COUNT(Tabela2[23])-SUM(AVES!AG$7:AG$8))/COUNT(Tabela2[23]),"")</f>
        <v/>
      </c>
      <c r="AH5" s="73" t="str">
        <f>IFERROR((COUNT(Tabela2[24])-SUM(AVES!AH$7:AH$8))/COUNT(Tabela2[24]),"")</f>
        <v/>
      </c>
      <c r="AI5" s="73" t="str">
        <f>IFERROR((COUNT(Tabela2[25])-SUM(AVES!AI$7:AI$8))/COUNT(Tabela2[25]),"")</f>
        <v/>
      </c>
      <c r="AJ5" s="73" t="str">
        <f>IFERROR((COUNT(Tabela2[26])-SUM(AVES!AJ$7:AJ$8))/COUNT(Tabela2[26]),"")</f>
        <v/>
      </c>
      <c r="AK5" s="73" t="str">
        <f>IFERROR((COUNT(Tabela2[27])-SUM(AVES!AK$7:AK$8))/COUNT(Tabela2[27]),"")</f>
        <v/>
      </c>
      <c r="AL5" s="73" t="str">
        <f>IFERROR((COUNT(Tabela2[28])-SUM(AVES!AL$7:AL$8))/COUNT(Tabela2[28]),"")</f>
        <v/>
      </c>
      <c r="AM5" s="73" t="str">
        <f>IFERROR((COUNT(Tabela2[29])-SUM(AVES!AM$7:AM$8))/COUNT(Tabela2[29]),"")</f>
        <v/>
      </c>
      <c r="AN5" s="73" t="str">
        <f>IFERROR((COUNT(Tabela2[30])-SUM(AVES!AN$7:AN$8))/COUNT(Tabela2[30]),"")</f>
        <v/>
      </c>
      <c r="AO5" s="73" t="str">
        <f>IFERROR((COUNT(Tabela2[31])-SUM(AVES!AO$7:AO$8))/COUNT(Tabela2[31]),"")</f>
        <v/>
      </c>
      <c r="AP5" s="73" t="str">
        <f>IFERROR((COUNT(Tabela2[32])-SUM(AVES!AP$7:AP$8))/COUNT(Tabela2[32]),"")</f>
        <v/>
      </c>
      <c r="AQ5" s="73" t="str">
        <f>IFERROR((COUNT(Tabela2[33])-SUM(AVES!AQ$7:AQ$8))/COUNT(Tabela2[33]),"")</f>
        <v/>
      </c>
      <c r="AR5" s="73" t="str">
        <f>IFERROR((COUNT(Tabela2[34])-SUM(AVES!AR$7:AR$8))/COUNT(Tabela2[34]),"")</f>
        <v/>
      </c>
      <c r="AS5" s="73" t="str">
        <f>IFERROR((COUNT(Tabela2[35])-SUM(AVES!AS$7:AS$8))/COUNT(Tabela2[35]),"")</f>
        <v/>
      </c>
      <c r="AT5" s="73" t="str">
        <f>IFERROR((COUNT(Tabela2[36])-SUM(AVES!AT$7:AT$8))/COUNT(Tabela2[36]),"")</f>
        <v/>
      </c>
      <c r="AU5" s="73" t="str">
        <f>IFERROR((COUNT(Tabela2[37])-SUM(AVES!AU$7:AU$8))/COUNT(Tabela2[37]),"")</f>
        <v/>
      </c>
      <c r="AV5" s="73" t="str">
        <f>IFERROR((COUNT(Tabela2[38])-SUM(AVES!AV$7:AV$8))/COUNT(Tabela2[38]),"")</f>
        <v/>
      </c>
      <c r="AW5" s="73" t="str">
        <f>IFERROR((COUNT(Tabela2[39])-SUM(AVES!AW$7:AW$8))/COUNT(Tabela2[39]),"")</f>
        <v/>
      </c>
      <c r="AX5" s="73" t="str">
        <f>IFERROR((COUNT(Tabela2[40])-SUM(AVES!AX$7:AX$8))/COUNT(Tabela2[40]),"")</f>
        <v/>
      </c>
      <c r="AY5" s="73" t="str">
        <f>IFERROR((COUNT(Tabela2[41])-SUM(AVES!AY$7:AY$8))/COUNT(Tabela2[41]),"")</f>
        <v/>
      </c>
      <c r="AZ5" s="73" t="str">
        <f>IFERROR((COUNT(Tabela2[42])-SUM(AVES!AZ$7:AZ$8))/COUNT(Tabela2[42]),"")</f>
        <v/>
      </c>
      <c r="BA5" s="73" t="str">
        <f>IFERROR((COUNT(Tabela2[43])-SUM(AVES!BA$7:BA$8))/COUNT(Tabela2[43]),"")</f>
        <v/>
      </c>
      <c r="BB5" s="73" t="str">
        <f>IFERROR((COUNT(Tabela2[44])-SUM(AVES!BB$7:BB$8))/COUNT(Tabela2[44]),"")</f>
        <v/>
      </c>
      <c r="BC5" s="73" t="str">
        <f>IFERROR((COUNT(Tabela2[45])-SUM(AVES!BC$7:BC$8))/COUNT(Tabela2[45]),"")</f>
        <v/>
      </c>
      <c r="BD5" s="73" t="str">
        <f>IFERROR((COUNT(Tabela2[46])-SUM(AVES!BD$7:BD$8))/COUNT(Tabela2[46]),"")</f>
        <v/>
      </c>
      <c r="BE5" s="73" t="str">
        <f>IFERROR((COUNT(Tabela2[47])-SUM(AVES!BE$7:BE$8))/COUNT(Tabela2[47]),"")</f>
        <v/>
      </c>
      <c r="BF5" s="73" t="str">
        <f>IFERROR((COUNT(Tabela2[48])-SUM(AVES!BF$7:BF$8))/COUNT(Tabela2[48]),"")</f>
        <v/>
      </c>
      <c r="BG5" s="73" t="str">
        <f>IFERROR((COUNT(Tabela2[49])-SUM(AVES!BG$7:BG$8))/COUNT(Tabela2[49]),"")</f>
        <v/>
      </c>
      <c r="BH5" s="73" t="str">
        <f>IFERROR((COUNT(Tabela2[50])-SUM(AVES!BH$7:BH$8))/COUNT(Tabela2[50]),"")</f>
        <v/>
      </c>
      <c r="BI5" s="73" t="str">
        <f>IFERROR((COUNT(Tabela2[51])-SUM(AVES!BI$7:BI$8))/COUNT(Tabela2[51]),"")</f>
        <v/>
      </c>
      <c r="BJ5" s="73" t="str">
        <f>IFERROR((COUNT(Tabela2[52])-SUM(AVES!BJ$7:BJ$8))/COUNT(Tabela2[52]),"")</f>
        <v/>
      </c>
      <c r="BK5" s="73" t="str">
        <f>IFERROR((COUNT(Tabela2[53])-SUM(AVES!BK$7:BK$8))/COUNT(Tabela2[53]),"")</f>
        <v/>
      </c>
      <c r="BL5" s="73" t="str">
        <f>IFERROR((COUNT(Tabela2[54])-SUM(AVES!BL$7:BL$8))/COUNT(Tabela2[54]),"")</f>
        <v/>
      </c>
      <c r="BM5" s="73" t="str">
        <f>IFERROR((COUNT(Tabela2[55])-SUM(AVES!BM$7:BM$8))/COUNT(Tabela2[55]),"")</f>
        <v/>
      </c>
      <c r="BN5" s="73" t="str">
        <f>IFERROR((COUNT(Tabela2[56])-SUM(AVES!BN$7:BN$8))/COUNT(Tabela2[56]),"")</f>
        <v/>
      </c>
      <c r="BO5" s="73" t="str">
        <f>IFERROR((COUNT(Tabela2[57])-SUM(AVES!BO$7:BO$8))/COUNT(Tabela2[57]),"")</f>
        <v/>
      </c>
      <c r="BP5" s="73" t="str">
        <f>IFERROR((COUNT(Tabela2[58])-SUM(AVES!BP$7:BP$8))/COUNT(Tabela2[58]),"")</f>
        <v/>
      </c>
      <c r="BQ5" s="73" t="str">
        <f>IFERROR((COUNT(Tabela2[59])-SUM(AVES!BQ$7:BQ$8))/COUNT(Tabela2[59]),"")</f>
        <v/>
      </c>
      <c r="BR5" s="73" t="str">
        <f>IFERROR((COUNT(Tabela2[60])-SUM(AVES!BR$7:BR$8))/COUNT(Tabela2[60]),"")</f>
        <v/>
      </c>
      <c r="BS5" s="73" t="str">
        <f>IFERROR((COUNT(Tabela2[61])-SUM(AVES!BS$7:BS$8))/COUNT(Tabela2[61]),"")</f>
        <v/>
      </c>
      <c r="BT5" s="73" t="str">
        <f>IFERROR((COUNT(Tabela2[62])-SUM(AVES!BT$7:BT$8))/COUNT(Tabela2[62]),"")</f>
        <v/>
      </c>
      <c r="BU5" s="73" t="str">
        <f>IFERROR((COUNT(Tabela2[63])-SUM(AVES!BU$7:BU$8))/COUNT(Tabela2[63]),"")</f>
        <v/>
      </c>
      <c r="BV5" s="73" t="str">
        <f>IFERROR((COUNT(Tabela2[64])-SUM(AVES!BV$7:BV$8))/COUNT(Tabela2[64]),"")</f>
        <v/>
      </c>
      <c r="BW5" s="73" t="str">
        <f>IFERROR((COUNT(Tabela2[65])-SUM(AVES!BW$7:BW$8))/COUNT(Tabela2[65]),"")</f>
        <v/>
      </c>
      <c r="BX5" s="73" t="str">
        <f>IFERROR((COUNT(Tabela2[66])-SUM(AVES!BX$7:BX$8))/COUNT(Tabela2[66]),"")</f>
        <v/>
      </c>
      <c r="BY5" s="73" t="str">
        <f>IFERROR((COUNT(Tabela2[67])-SUM(AVES!BY$7:BY$8))/COUNT(Tabela2[67]),"")</f>
        <v/>
      </c>
      <c r="BZ5" s="73" t="str">
        <f>IFERROR((COUNT(Tabela2[68])-SUM(AVES!BZ$7:BZ$8))/COUNT(Tabela2[68]),"")</f>
        <v/>
      </c>
      <c r="CA5" s="73" t="str">
        <f>IFERROR((COUNT(Tabela2[69])-SUM(AVES!CA$7:CA$8))/COUNT(Tabela2[69]),"")</f>
        <v/>
      </c>
      <c r="CB5" s="73" t="str">
        <f>IFERROR((COUNT(Tabela2[70])-SUM(AVES!CB$7:CB$8))/COUNT(Tabela2[70]),"")</f>
        <v/>
      </c>
      <c r="CC5" s="73" t="str">
        <f>IFERROR((COUNT(Tabela2[71])-SUM(AVES!CC$7:CC$8))/COUNT(Tabela2[71]),"")</f>
        <v/>
      </c>
      <c r="CD5" s="73" t="str">
        <f>IFERROR((COUNT(Tabela2[72])-SUM(AVES!CD$7:CD$8))/COUNT(Tabela2[72]),"")</f>
        <v/>
      </c>
      <c r="CE5" s="73" t="str">
        <f>IFERROR((COUNT(Tabela2[73])-SUM(AVES!CE$7:CE$8))/COUNT(Tabela2[73]),"")</f>
        <v/>
      </c>
      <c r="CF5" s="73" t="str">
        <f>IFERROR((COUNT(Tabela2[74])-SUM(AVES!CF$7:CF$8))/COUNT(Tabela2[74]),"")</f>
        <v/>
      </c>
      <c r="CG5" s="73" t="str">
        <f>IFERROR((COUNT(Tabela2[75])-SUM(AVES!CG$7:CG$8))/COUNT(Tabela2[75]),"")</f>
        <v/>
      </c>
      <c r="CH5" s="73" t="str">
        <f>IFERROR((COUNT(Tabela2[76])-SUM(AVES!CH$7:CH$8))/COUNT(Tabela2[76]),"")</f>
        <v/>
      </c>
      <c r="CI5" s="73" t="str">
        <f>IFERROR((COUNT(Tabela2[77])-SUM(AVES!CI$7:CI$8))/COUNT(Tabela2[77]),"")</f>
        <v/>
      </c>
      <c r="CJ5" s="73" t="str">
        <f>IFERROR((COUNT(Tabela2[78])-SUM(AVES!CJ$7:CJ$8))/COUNT(Tabela2[78]),"")</f>
        <v/>
      </c>
      <c r="CK5" s="73" t="str">
        <f>IFERROR((COUNT(Tabela2[79])-SUM(AVES!CK$7:CK$8))/COUNT(Tabela2[79]),"")</f>
        <v/>
      </c>
      <c r="CL5" s="73" t="str">
        <f>IFERROR((COUNT(Tabela2[80])-SUM(AVES!CL$7:CL$8))/COUNT(Tabela2[80]),"")</f>
        <v/>
      </c>
      <c r="CM5" s="73" t="str">
        <f>IFERROR((COUNT(Tabela2[81])-SUM(AVES!CM$7:CM$8))/COUNT(Tabela2[81]),"")</f>
        <v/>
      </c>
      <c r="CN5" s="73" t="str">
        <f>IFERROR((COUNT(Tabela2[82])-SUM(AVES!CN$7:CN$8))/COUNT(Tabela2[82]),"")</f>
        <v/>
      </c>
      <c r="CO5" s="73" t="str">
        <f>IFERROR((COUNT(Tabela2[83])-SUM(AVES!CO$7:CO$8))/COUNT(Tabela2[83]),"")</f>
        <v/>
      </c>
      <c r="CP5" s="73" t="str">
        <f>IFERROR((COUNT(Tabela2[84])-SUM(AVES!CP$7:CP$8))/COUNT(Tabela2[84]),"")</f>
        <v/>
      </c>
      <c r="CQ5" s="73" t="str">
        <f>IFERROR((COUNT(Tabela2[85])-SUM(AVES!CQ$7:CQ$8))/COUNT(Tabela2[85]),"")</f>
        <v/>
      </c>
      <c r="CR5" s="73" t="str">
        <f>IFERROR((COUNT(Tabela2[86])-SUM(AVES!CR$7:CR$8))/COUNT(Tabela2[86]),"")</f>
        <v/>
      </c>
      <c r="CS5" s="73" t="str">
        <f>IFERROR((COUNT(Tabela2[87])-SUM(AVES!CS$7:CS$8))/COUNT(Tabela2[87]),"")</f>
        <v/>
      </c>
      <c r="CT5" s="73" t="str">
        <f>IFERROR((COUNT(Tabela2[88])-SUM(AVES!CT$7:CT$8))/COUNT(Tabela2[88]),"")</f>
        <v/>
      </c>
      <c r="CU5" s="73" t="str">
        <f>IFERROR((COUNT(Tabela2[89])-SUM(AVES!CU$7:CU$8))/COUNT(Tabela2[89]),"")</f>
        <v/>
      </c>
      <c r="CV5" s="73" t="str">
        <f>IFERROR((COUNT(Tabela2[90])-SUM(AVES!CV$7:CV$8))/COUNT(Tabela2[90]),"")</f>
        <v/>
      </c>
      <c r="CW5" s="73" t="str">
        <f>IFERROR((COUNT(Tabela2[91])-SUM(AVES!CW$7:CW$8))/COUNT(Tabela2[91]),"")</f>
        <v/>
      </c>
      <c r="CX5" s="73" t="str">
        <f>IFERROR((COUNT(Tabela2[92])-SUM(AVES!CX$7:CX$8))/COUNT(Tabela2[92]),"")</f>
        <v/>
      </c>
      <c r="CY5" s="73" t="str">
        <f>IFERROR((COUNT(Tabela2[93])-SUM(AVES!CY$7:CY$8))/COUNT(Tabela2[93]),"")</f>
        <v/>
      </c>
      <c r="CZ5" s="73" t="str">
        <f>IFERROR((COUNT(Tabela2[94])-SUM(AVES!CZ$7:CZ$8))/COUNT(Tabela2[94]),"")</f>
        <v/>
      </c>
      <c r="DA5" s="73" t="str">
        <f>IFERROR((COUNT(Tabela2[95])-SUM(AVES!DA$7:DA$8))/COUNT(Tabela2[95]),"")</f>
        <v/>
      </c>
      <c r="DB5" s="73" t="str">
        <f>IFERROR((COUNT(Tabela2[96])-SUM(AVES!DB$7:DB$8))/COUNT(Tabela2[96]),"")</f>
        <v/>
      </c>
      <c r="DC5" s="73" t="str">
        <f>IFERROR((COUNT(Tabela2[97])-SUM(AVES!DC$7:DC$8))/COUNT(Tabela2[97]),"")</f>
        <v/>
      </c>
      <c r="DD5" s="73" t="str">
        <f>IFERROR((COUNT(Tabela2[98])-SUM(AVES!DD$7:DD$8))/COUNT(Tabela2[98]),"")</f>
        <v/>
      </c>
      <c r="DE5" s="73" t="str">
        <f>IFERROR((COUNT(Tabela2[99])-SUM(AVES!DE$7:DE$8))/COUNT(Tabela2[99]),"")</f>
        <v/>
      </c>
      <c r="DF5" s="73" t="str">
        <f>IFERROR((COUNT(Tabela2[100])-SUM(AVES!DF$7:DF$8))/COUNT(Tabela2[100]),"")</f>
        <v/>
      </c>
    </row>
    <row r="6" spans="1:110" ht="22.5" x14ac:dyDescent="0.25">
      <c r="B6" s="7" t="s">
        <v>1</v>
      </c>
      <c r="C6" s="45" t="s">
        <v>857</v>
      </c>
      <c r="D6" s="7" t="s">
        <v>5</v>
      </c>
      <c r="E6" s="39">
        <f ca="1">TODAY()</f>
        <v>45217</v>
      </c>
      <c r="G6" s="19" t="s">
        <v>416</v>
      </c>
      <c r="H6" s="74" t="str">
        <f>IFERROR((H3-H2)/H2,"")</f>
        <v/>
      </c>
      <c r="I6" s="74" t="str">
        <f t="shared" ref="I6:BS6" si="0">IFERROR((I3-I2)/I2,"")</f>
        <v/>
      </c>
      <c r="J6" s="74" t="str">
        <f t="shared" si="0"/>
        <v/>
      </c>
      <c r="K6" s="74" t="str">
        <f t="shared" si="0"/>
        <v/>
      </c>
      <c r="L6" s="74" t="str">
        <f t="shared" si="0"/>
        <v/>
      </c>
      <c r="M6" s="74" t="str">
        <f t="shared" si="0"/>
        <v/>
      </c>
      <c r="N6" s="74" t="str">
        <f t="shared" si="0"/>
        <v/>
      </c>
      <c r="O6" s="74" t="str">
        <f t="shared" si="0"/>
        <v/>
      </c>
      <c r="P6" s="74" t="str">
        <f t="shared" si="0"/>
        <v/>
      </c>
      <c r="Q6" s="74" t="str">
        <f t="shared" si="0"/>
        <v/>
      </c>
      <c r="R6" s="74" t="str">
        <f t="shared" si="0"/>
        <v/>
      </c>
      <c r="S6" s="74" t="str">
        <f t="shared" si="0"/>
        <v/>
      </c>
      <c r="T6" s="74" t="str">
        <f t="shared" si="0"/>
        <v/>
      </c>
      <c r="U6" s="74" t="str">
        <f t="shared" si="0"/>
        <v/>
      </c>
      <c r="V6" s="74" t="str">
        <f t="shared" si="0"/>
        <v/>
      </c>
      <c r="W6" s="74" t="str">
        <f t="shared" si="0"/>
        <v/>
      </c>
      <c r="X6" s="74" t="str">
        <f t="shared" si="0"/>
        <v/>
      </c>
      <c r="Y6" s="74" t="str">
        <f t="shared" si="0"/>
        <v/>
      </c>
      <c r="Z6" s="74" t="str">
        <f t="shared" si="0"/>
        <v/>
      </c>
      <c r="AA6" s="74" t="str">
        <f t="shared" si="0"/>
        <v/>
      </c>
      <c r="AB6" s="74" t="str">
        <f t="shared" si="0"/>
        <v/>
      </c>
      <c r="AC6" s="74" t="str">
        <f t="shared" si="0"/>
        <v/>
      </c>
      <c r="AD6" s="74" t="str">
        <f t="shared" si="0"/>
        <v/>
      </c>
      <c r="AE6" s="74" t="str">
        <f t="shared" si="0"/>
        <v/>
      </c>
      <c r="AF6" s="74" t="str">
        <f t="shared" si="0"/>
        <v/>
      </c>
      <c r="AG6" s="74" t="str">
        <f t="shared" si="0"/>
        <v/>
      </c>
      <c r="AH6" s="74" t="str">
        <f t="shared" si="0"/>
        <v/>
      </c>
      <c r="AI6" s="74" t="str">
        <f t="shared" si="0"/>
        <v/>
      </c>
      <c r="AJ6" s="74" t="str">
        <f t="shared" si="0"/>
        <v/>
      </c>
      <c r="AK6" s="74" t="str">
        <f t="shared" si="0"/>
        <v/>
      </c>
      <c r="AL6" s="74" t="str">
        <f t="shared" si="0"/>
        <v/>
      </c>
      <c r="AM6" s="74" t="str">
        <f t="shared" si="0"/>
        <v/>
      </c>
      <c r="AN6" s="74" t="str">
        <f t="shared" si="0"/>
        <v/>
      </c>
      <c r="AO6" s="74" t="str">
        <f t="shared" si="0"/>
        <v/>
      </c>
      <c r="AP6" s="74" t="str">
        <f t="shared" si="0"/>
        <v/>
      </c>
      <c r="AQ6" s="74" t="str">
        <f t="shared" si="0"/>
        <v/>
      </c>
      <c r="AR6" s="74" t="str">
        <f t="shared" si="0"/>
        <v/>
      </c>
      <c r="AS6" s="74" t="str">
        <f t="shared" si="0"/>
        <v/>
      </c>
      <c r="AT6" s="74" t="str">
        <f t="shared" si="0"/>
        <v/>
      </c>
      <c r="AU6" s="74" t="str">
        <f t="shared" si="0"/>
        <v/>
      </c>
      <c r="AV6" s="74" t="str">
        <f t="shared" si="0"/>
        <v/>
      </c>
      <c r="AW6" s="74" t="str">
        <f t="shared" si="0"/>
        <v/>
      </c>
      <c r="AX6" s="74" t="str">
        <f t="shared" si="0"/>
        <v/>
      </c>
      <c r="AY6" s="74" t="str">
        <f t="shared" si="0"/>
        <v/>
      </c>
      <c r="AZ6" s="74" t="str">
        <f t="shared" si="0"/>
        <v/>
      </c>
      <c r="BA6" s="74" t="str">
        <f t="shared" si="0"/>
        <v/>
      </c>
      <c r="BB6" s="74" t="str">
        <f t="shared" si="0"/>
        <v/>
      </c>
      <c r="BC6" s="74" t="str">
        <f t="shared" si="0"/>
        <v/>
      </c>
      <c r="BD6" s="74" t="str">
        <f t="shared" si="0"/>
        <v/>
      </c>
      <c r="BE6" s="74" t="str">
        <f t="shared" si="0"/>
        <v/>
      </c>
      <c r="BF6" s="74" t="str">
        <f t="shared" si="0"/>
        <v/>
      </c>
      <c r="BG6" s="74" t="str">
        <f t="shared" si="0"/>
        <v/>
      </c>
      <c r="BH6" s="74" t="str">
        <f t="shared" si="0"/>
        <v/>
      </c>
      <c r="BI6" s="74" t="str">
        <f t="shared" si="0"/>
        <v/>
      </c>
      <c r="BJ6" s="74" t="str">
        <f t="shared" si="0"/>
        <v/>
      </c>
      <c r="BK6" s="74" t="str">
        <f t="shared" si="0"/>
        <v/>
      </c>
      <c r="BL6" s="74" t="str">
        <f t="shared" si="0"/>
        <v/>
      </c>
      <c r="BM6" s="74" t="str">
        <f t="shared" si="0"/>
        <v/>
      </c>
      <c r="BN6" s="74" t="str">
        <f t="shared" si="0"/>
        <v/>
      </c>
      <c r="BO6" s="74" t="str">
        <f t="shared" si="0"/>
        <v/>
      </c>
      <c r="BP6" s="74" t="str">
        <f t="shared" si="0"/>
        <v/>
      </c>
      <c r="BQ6" s="74" t="str">
        <f t="shared" si="0"/>
        <v/>
      </c>
      <c r="BR6" s="74" t="str">
        <f t="shared" si="0"/>
        <v/>
      </c>
      <c r="BS6" s="74" t="str">
        <f t="shared" si="0"/>
        <v/>
      </c>
      <c r="BT6" s="74" t="str">
        <f t="shared" ref="BT6:DF6" si="1">IFERROR((BT3-BT2)/BT2,"")</f>
        <v/>
      </c>
      <c r="BU6" s="74" t="str">
        <f t="shared" si="1"/>
        <v/>
      </c>
      <c r="BV6" s="74" t="str">
        <f t="shared" si="1"/>
        <v/>
      </c>
      <c r="BW6" s="74" t="str">
        <f t="shared" si="1"/>
        <v/>
      </c>
      <c r="BX6" s="74" t="str">
        <f t="shared" si="1"/>
        <v/>
      </c>
      <c r="BY6" s="74" t="str">
        <f t="shared" si="1"/>
        <v/>
      </c>
      <c r="BZ6" s="74" t="str">
        <f t="shared" si="1"/>
        <v/>
      </c>
      <c r="CA6" s="74" t="str">
        <f t="shared" si="1"/>
        <v/>
      </c>
      <c r="CB6" s="74" t="str">
        <f t="shared" si="1"/>
        <v/>
      </c>
      <c r="CC6" s="74" t="str">
        <f t="shared" si="1"/>
        <v/>
      </c>
      <c r="CD6" s="74" t="str">
        <f t="shared" si="1"/>
        <v/>
      </c>
      <c r="CE6" s="74" t="str">
        <f t="shared" si="1"/>
        <v/>
      </c>
      <c r="CF6" s="74" t="str">
        <f t="shared" si="1"/>
        <v/>
      </c>
      <c r="CG6" s="74" t="str">
        <f t="shared" si="1"/>
        <v/>
      </c>
      <c r="CH6" s="74" t="str">
        <f t="shared" si="1"/>
        <v/>
      </c>
      <c r="CI6" s="74" t="str">
        <f t="shared" si="1"/>
        <v/>
      </c>
      <c r="CJ6" s="74" t="str">
        <f t="shared" si="1"/>
        <v/>
      </c>
      <c r="CK6" s="74" t="str">
        <f t="shared" si="1"/>
        <v/>
      </c>
      <c r="CL6" s="74" t="str">
        <f t="shared" si="1"/>
        <v/>
      </c>
      <c r="CM6" s="74" t="str">
        <f t="shared" si="1"/>
        <v/>
      </c>
      <c r="CN6" s="74" t="str">
        <f t="shared" si="1"/>
        <v/>
      </c>
      <c r="CO6" s="74" t="str">
        <f t="shared" si="1"/>
        <v/>
      </c>
      <c r="CP6" s="74" t="str">
        <f t="shared" si="1"/>
        <v/>
      </c>
      <c r="CQ6" s="74" t="str">
        <f t="shared" si="1"/>
        <v/>
      </c>
      <c r="CR6" s="74" t="str">
        <f t="shared" si="1"/>
        <v/>
      </c>
      <c r="CS6" s="74" t="str">
        <f t="shared" si="1"/>
        <v/>
      </c>
      <c r="CT6" s="74" t="str">
        <f t="shared" si="1"/>
        <v/>
      </c>
      <c r="CU6" s="74" t="str">
        <f t="shared" si="1"/>
        <v/>
      </c>
      <c r="CV6" s="74" t="str">
        <f t="shared" si="1"/>
        <v/>
      </c>
      <c r="CW6" s="74" t="str">
        <f t="shared" si="1"/>
        <v/>
      </c>
      <c r="CX6" s="74" t="str">
        <f t="shared" si="1"/>
        <v/>
      </c>
      <c r="CY6" s="74" t="str">
        <f t="shared" si="1"/>
        <v/>
      </c>
      <c r="CZ6" s="74" t="str">
        <f t="shared" si="1"/>
        <v/>
      </c>
      <c r="DA6" s="74" t="str">
        <f t="shared" si="1"/>
        <v/>
      </c>
      <c r="DB6" s="74" t="str">
        <f t="shared" si="1"/>
        <v/>
      </c>
      <c r="DC6" s="74" t="str">
        <f t="shared" si="1"/>
        <v/>
      </c>
      <c r="DD6" s="74" t="str">
        <f t="shared" si="1"/>
        <v/>
      </c>
      <c r="DE6" s="74" t="str">
        <f t="shared" si="1"/>
        <v/>
      </c>
      <c r="DF6" s="74" t="str">
        <f t="shared" si="1"/>
        <v/>
      </c>
    </row>
    <row r="7" spans="1:110" ht="24" x14ac:dyDescent="0.25">
      <c r="B7" s="7" t="s">
        <v>2</v>
      </c>
      <c r="C7" s="16" t="s">
        <v>524</v>
      </c>
      <c r="D7" s="13" t="s">
        <v>6</v>
      </c>
      <c r="E7" s="40">
        <f ca="1">(E6-C5)/7</f>
        <v>109</v>
      </c>
      <c r="G7" s="19" t="s">
        <v>8</v>
      </c>
      <c r="H7" s="3">
        <f>COUNTIF(Tabela2[Matriz A],"&lt;="&amp;H3*0.9)</f>
        <v>0</v>
      </c>
      <c r="I7" s="3">
        <f>COUNTIF(Tabela2[Matriz B],"&lt;="&amp;I3*0.9)</f>
        <v>0</v>
      </c>
      <c r="J7" s="3">
        <f>COUNTIF(Tabela2[Matriz C],"&lt;="&amp;J3*0.9)</f>
        <v>0</v>
      </c>
      <c r="K7" s="3">
        <f>COUNTIF(Tabela2[1],"&lt;="&amp;K3*0.9)</f>
        <v>0</v>
      </c>
      <c r="L7" s="3">
        <f>COUNTIF(Tabela2[2],"&lt;="&amp;L3*0.9)</f>
        <v>0</v>
      </c>
      <c r="M7" s="3">
        <f>COUNTIF(Tabela2[3],"&lt;="&amp;M3*0.9)</f>
        <v>0</v>
      </c>
      <c r="N7" s="3">
        <f>COUNTIF(Tabela2[4],"&lt;="&amp;N3*0.9)</f>
        <v>0</v>
      </c>
      <c r="O7" s="3">
        <f>COUNTIF(Tabela2[5],"&lt;="&amp;O3*0.9)</f>
        <v>0</v>
      </c>
      <c r="P7" s="3">
        <f>COUNTIF(Tabela2[6],"&lt;="&amp;P3*0.9)</f>
        <v>0</v>
      </c>
      <c r="Q7" s="3">
        <f>COUNTIF(Tabela2[7],"&lt;="&amp;Q3*0.9)</f>
        <v>0</v>
      </c>
      <c r="R7" s="3">
        <f>COUNTIF(Tabela2[8],"&lt;="&amp;R3*0.9)</f>
        <v>0</v>
      </c>
      <c r="S7" s="3">
        <f>COUNTIF(Tabela2[9],"&lt;="&amp;S3*0.9)</f>
        <v>0</v>
      </c>
      <c r="T7" s="3">
        <f>COUNTIF(Tabela2[10],"&lt;="&amp;T3*0.9)</f>
        <v>0</v>
      </c>
      <c r="U7" s="3">
        <f>COUNTIF(Tabela2[11],"&lt;="&amp;U3*0.9)</f>
        <v>0</v>
      </c>
      <c r="V7" s="3">
        <f>COUNTIF(Tabela2[12],"&lt;="&amp;V3*0.9)</f>
        <v>0</v>
      </c>
      <c r="W7" s="3">
        <f>COUNTIF(Tabela2[13],"&lt;="&amp;W3*0.9)</f>
        <v>0</v>
      </c>
      <c r="X7" s="3">
        <f>COUNTIF(Tabela2[14],"&lt;="&amp;X3*0.9)</f>
        <v>0</v>
      </c>
      <c r="Y7" s="3">
        <f>COUNTIF(Tabela2[15],"&lt;="&amp;Y3*0.9)</f>
        <v>0</v>
      </c>
      <c r="Z7" s="3">
        <f>COUNTIF(Tabela2[16],"&lt;="&amp;Z3*0.9)</f>
        <v>0</v>
      </c>
      <c r="AA7" s="3">
        <f>COUNTIF(Tabela2[17],"&lt;="&amp;AA3*0.9)</f>
        <v>0</v>
      </c>
      <c r="AB7" s="3">
        <f>COUNTIF(Tabela2[18],"&lt;="&amp;AB3*0.9)</f>
        <v>0</v>
      </c>
      <c r="AC7" s="3">
        <f>COUNTIF(Tabela2[19],"&lt;="&amp;AC3*0.9)</f>
        <v>0</v>
      </c>
      <c r="AD7" s="3">
        <f>COUNTIF(Tabela2[20],"&lt;="&amp;AD3*0.9)</f>
        <v>0</v>
      </c>
      <c r="AE7" s="3">
        <f>COUNTIF(Tabela2[21],"&lt;="&amp;AE3*0.9)</f>
        <v>0</v>
      </c>
      <c r="AF7" s="3">
        <f>COUNTIF(Tabela2[22],"&lt;="&amp;AF3*0.9)</f>
        <v>0</v>
      </c>
      <c r="AG7" s="3">
        <f>COUNTIF(Tabela2[23],"&lt;="&amp;AG3*0.9)</f>
        <v>0</v>
      </c>
      <c r="AH7" s="3">
        <f>COUNTIF(Tabela2[24],"&lt;="&amp;AH3*0.9)</f>
        <v>0</v>
      </c>
      <c r="AI7" s="3">
        <f>COUNTIF(Tabela2[25],"&lt;="&amp;AI3*0.9)</f>
        <v>0</v>
      </c>
      <c r="AJ7" s="3">
        <f>COUNTIF(Tabela2[26],"&lt;="&amp;AJ3*0.9)</f>
        <v>0</v>
      </c>
      <c r="AK7" s="3">
        <f>COUNTIF(Tabela2[27],"&lt;="&amp;AK3*0.9)</f>
        <v>0</v>
      </c>
      <c r="AL7" s="3">
        <f>COUNTIF(Tabela2[28],"&lt;="&amp;AL3*0.9)</f>
        <v>0</v>
      </c>
      <c r="AM7" s="3">
        <f>COUNTIF(Tabela2[29],"&lt;="&amp;AM3*0.9)</f>
        <v>0</v>
      </c>
      <c r="AN7" s="3">
        <f>COUNTIF(Tabela2[30],"&lt;="&amp;AN3*0.9)</f>
        <v>0</v>
      </c>
      <c r="AO7" s="3">
        <f>COUNTIF(Tabela2[31],"&lt;="&amp;AO3*0.9)</f>
        <v>0</v>
      </c>
      <c r="AP7" s="3">
        <f>COUNTIF(Tabela2[32],"&lt;="&amp;AP3*0.9)</f>
        <v>0</v>
      </c>
      <c r="AQ7" s="3">
        <f>COUNTIF(Tabela2[33],"&lt;="&amp;AQ3*0.9)</f>
        <v>0</v>
      </c>
      <c r="AR7" s="3">
        <f>COUNTIF(Tabela2[34],"&lt;="&amp;AR3*0.9)</f>
        <v>0</v>
      </c>
      <c r="AS7" s="3">
        <f>COUNTIF(Tabela2[35],"&lt;="&amp;AS3*0.9)</f>
        <v>0</v>
      </c>
      <c r="AT7" s="3">
        <f>COUNTIF(Tabela2[36],"&lt;="&amp;AT3*0.9)</f>
        <v>0</v>
      </c>
      <c r="AU7" s="3">
        <f>COUNTIF(Tabela2[37],"&lt;="&amp;AU3*0.9)</f>
        <v>0</v>
      </c>
      <c r="AV7" s="3">
        <f>COUNTIF(Tabela2[38],"&lt;="&amp;AV3*0.9)</f>
        <v>0</v>
      </c>
      <c r="AW7" s="3">
        <f>COUNTIF(Tabela2[39],"&lt;="&amp;AW3*0.9)</f>
        <v>0</v>
      </c>
      <c r="AX7" s="3">
        <f>COUNTIF(Tabela2[40],"&lt;="&amp;AX3*0.9)</f>
        <v>0</v>
      </c>
      <c r="AY7" s="3">
        <f>COUNTIF(Tabela2[41],"&lt;="&amp;AY3*0.9)</f>
        <v>0</v>
      </c>
      <c r="AZ7" s="3">
        <f>COUNTIF(Tabela2[42],"&lt;="&amp;AZ3*0.9)</f>
        <v>0</v>
      </c>
      <c r="BA7" s="3">
        <f>COUNTIF(Tabela2[43],"&lt;="&amp;BA3*0.9)</f>
        <v>0</v>
      </c>
      <c r="BB7" s="3">
        <f>COUNTIF(Tabela2[44],"&lt;="&amp;BB3*0.9)</f>
        <v>0</v>
      </c>
      <c r="BC7" s="3">
        <f>COUNTIF(Tabela2[45],"&lt;="&amp;BC3*0.9)</f>
        <v>0</v>
      </c>
      <c r="BD7" s="3">
        <f>COUNTIF(Tabela2[46],"&lt;="&amp;BD3*0.9)</f>
        <v>0</v>
      </c>
      <c r="BE7" s="3">
        <f>COUNTIF(Tabela2[47],"&lt;="&amp;BE3*0.9)</f>
        <v>0</v>
      </c>
      <c r="BF7" s="3">
        <f>COUNTIF(Tabela2[48],"&lt;="&amp;BF3*0.9)</f>
        <v>0</v>
      </c>
      <c r="BG7" s="3">
        <f>COUNTIF(Tabela2[49],"&lt;="&amp;BG3*0.9)</f>
        <v>0</v>
      </c>
      <c r="BH7" s="3">
        <f>COUNTIF(Tabela2[50],"&lt;="&amp;BH3*0.9)</f>
        <v>0</v>
      </c>
      <c r="BI7" s="3">
        <f>COUNTIF(Tabela2[51],"&lt;="&amp;BI3*0.9)</f>
        <v>0</v>
      </c>
      <c r="BJ7" s="3">
        <f>COUNTIF(Tabela2[52],"&lt;="&amp;BJ3*0.9)</f>
        <v>0</v>
      </c>
      <c r="BK7" s="3">
        <f>COUNTIF(Tabela2[53],"&lt;="&amp;BK3*0.9)</f>
        <v>0</v>
      </c>
      <c r="BL7" s="3">
        <f>COUNTIF(Tabela2[54],"&lt;="&amp;BL3*0.9)</f>
        <v>0</v>
      </c>
      <c r="BM7" s="3">
        <f>COUNTIF(Tabela2[55],"&lt;="&amp;BM3*0.9)</f>
        <v>0</v>
      </c>
      <c r="BN7" s="3">
        <f>COUNTIF(Tabela2[56],"&lt;="&amp;BN3*0.9)</f>
        <v>0</v>
      </c>
      <c r="BO7" s="3">
        <f>COUNTIF(Tabela2[57],"&lt;="&amp;BO3*0.9)</f>
        <v>0</v>
      </c>
      <c r="BP7" s="3">
        <f>COUNTIF(Tabela2[58],"&lt;="&amp;BP3*0.9)</f>
        <v>0</v>
      </c>
      <c r="BQ7" s="3">
        <f>COUNTIF(Tabela2[59],"&lt;="&amp;BQ3*0.9)</f>
        <v>0</v>
      </c>
      <c r="BR7" s="3">
        <f>COUNTIF(Tabela2[60],"&lt;="&amp;BR3*0.9)</f>
        <v>0</v>
      </c>
      <c r="BS7" s="3">
        <f>COUNTIF(Tabela2[61],"&lt;="&amp;BS3*0.9)</f>
        <v>0</v>
      </c>
      <c r="BT7" s="3">
        <f>COUNTIF(Tabela2[62],"&lt;="&amp;BT3*0.9)</f>
        <v>0</v>
      </c>
      <c r="BU7" s="3">
        <f>COUNTIF(Tabela2[63],"&lt;="&amp;BU3*0.9)</f>
        <v>0</v>
      </c>
      <c r="BV7" s="3">
        <f>COUNTIF(Tabela2[64],"&lt;="&amp;BV3*0.9)</f>
        <v>0</v>
      </c>
      <c r="BW7" s="3">
        <f>COUNTIF(Tabela2[65],"&lt;="&amp;BW3*0.9)</f>
        <v>0</v>
      </c>
      <c r="BX7" s="3">
        <f>COUNTIF(Tabela2[66],"&lt;="&amp;BX3*0.9)</f>
        <v>0</v>
      </c>
      <c r="BY7" s="3">
        <f>COUNTIF(Tabela2[67],"&lt;="&amp;BY3*0.9)</f>
        <v>0</v>
      </c>
      <c r="BZ7" s="3">
        <f>COUNTIF(Tabela2[68],"&lt;="&amp;BZ3*0.9)</f>
        <v>0</v>
      </c>
      <c r="CA7" s="3">
        <f>COUNTIF(Tabela2[69],"&lt;="&amp;CA3*0.9)</f>
        <v>0</v>
      </c>
      <c r="CB7" s="3">
        <f>COUNTIF(Tabela2[70],"&lt;="&amp;CB3*0.9)</f>
        <v>0</v>
      </c>
      <c r="CC7" s="3">
        <f>COUNTIF(Tabela2[71],"&lt;="&amp;CC3*0.9)</f>
        <v>0</v>
      </c>
      <c r="CD7" s="3">
        <f>COUNTIF(Tabela2[72],"&lt;="&amp;CD3*0.9)</f>
        <v>0</v>
      </c>
      <c r="CE7" s="3">
        <f>COUNTIF(Tabela2[73],"&lt;="&amp;CE3*0.9)</f>
        <v>0</v>
      </c>
      <c r="CF7" s="3">
        <f>COUNTIF(Tabela2[74],"&lt;="&amp;CF3*0.9)</f>
        <v>0</v>
      </c>
      <c r="CG7" s="3">
        <f>COUNTIF(Tabela2[75],"&lt;="&amp;CG3*0.9)</f>
        <v>0</v>
      </c>
      <c r="CH7" s="3">
        <f>COUNTIF(Tabela2[76],"&lt;="&amp;CH3*0.9)</f>
        <v>0</v>
      </c>
      <c r="CI7" s="3">
        <f>COUNTIF(Tabela2[77],"&lt;="&amp;CI3*0.9)</f>
        <v>0</v>
      </c>
      <c r="CJ7" s="3">
        <f>COUNTIF(Tabela2[78],"&lt;="&amp;CJ3*0.9)</f>
        <v>0</v>
      </c>
      <c r="CK7" s="3">
        <f>COUNTIF(Tabela2[79],"&lt;="&amp;CK3*0.9)</f>
        <v>0</v>
      </c>
      <c r="CL7" s="3">
        <f>COUNTIF(Tabela2[80],"&lt;="&amp;CL3*0.9)</f>
        <v>0</v>
      </c>
      <c r="CM7" s="3">
        <f>COUNTIF(Tabela2[81],"&lt;="&amp;CM3*0.9)</f>
        <v>0</v>
      </c>
      <c r="CN7" s="3">
        <f>COUNTIF(Tabela2[82],"&lt;="&amp;CN3*0.9)</f>
        <v>0</v>
      </c>
      <c r="CO7" s="3">
        <f>COUNTIF(Tabela2[83],"&lt;="&amp;CO3*0.9)</f>
        <v>0</v>
      </c>
      <c r="CP7" s="3">
        <f>COUNTIF(Tabela2[84],"&lt;="&amp;CP3*0.9)</f>
        <v>0</v>
      </c>
      <c r="CQ7" s="3">
        <f>COUNTIF(Tabela2[85],"&lt;="&amp;CQ3*0.9)</f>
        <v>0</v>
      </c>
      <c r="CR7" s="3">
        <f>COUNTIF(Tabela2[86],"&lt;="&amp;CR3*0.9)</f>
        <v>0</v>
      </c>
      <c r="CS7" s="3">
        <f>COUNTIF(Tabela2[87],"&lt;="&amp;CS3*0.9)</f>
        <v>0</v>
      </c>
      <c r="CT7" s="3">
        <f>COUNTIF(Tabela2[88],"&lt;="&amp;CT3*0.9)</f>
        <v>0</v>
      </c>
      <c r="CU7" s="3">
        <f>COUNTIF(Tabela2[89],"&lt;="&amp;CU3*0.9)</f>
        <v>0</v>
      </c>
      <c r="CV7" s="3">
        <f>COUNTIF(Tabela2[90],"&lt;="&amp;CV3*0.9)</f>
        <v>0</v>
      </c>
      <c r="CW7" s="3">
        <f>COUNTIF(Tabela2[91],"&lt;="&amp;CW3*0.9)</f>
        <v>0</v>
      </c>
      <c r="CX7" s="3">
        <f>COUNTIF(Tabela2[92],"&lt;="&amp;CX3*0.9)</f>
        <v>0</v>
      </c>
      <c r="CY7" s="3">
        <f>COUNTIF(Tabela2[93],"&lt;="&amp;CY3*0.9)</f>
        <v>0</v>
      </c>
      <c r="CZ7" s="3">
        <f>COUNTIF(Tabela2[94],"&lt;="&amp;CZ3*0.9)</f>
        <v>0</v>
      </c>
      <c r="DA7" s="3">
        <f>COUNTIF(Tabela2[95],"&lt;="&amp;DA3*0.9)</f>
        <v>0</v>
      </c>
      <c r="DB7" s="3">
        <f>COUNTIF(Tabela2[96],"&lt;="&amp;DB3*0.9)</f>
        <v>0</v>
      </c>
      <c r="DC7" s="3">
        <f>COUNTIF(Tabela2[97],"&lt;="&amp;DC3*0.9)</f>
        <v>0</v>
      </c>
      <c r="DD7" s="3">
        <f>COUNTIF(Tabela2[98],"&lt;="&amp;DD3*0.9)</f>
        <v>0</v>
      </c>
      <c r="DE7" s="3">
        <f>COUNTIF(Tabela2[99],"&lt;="&amp;DE3*0.9)</f>
        <v>0</v>
      </c>
      <c r="DF7" s="3">
        <f>COUNTIF(Tabela2[100],"&lt;="&amp;DF3*0.9)</f>
        <v>0</v>
      </c>
    </row>
    <row r="8" spans="1:110" x14ac:dyDescent="0.25">
      <c r="B8" s="12" t="s">
        <v>3</v>
      </c>
      <c r="C8" s="1" t="s">
        <v>852</v>
      </c>
      <c r="D8" s="13" t="s">
        <v>417</v>
      </c>
      <c r="E8" s="75" t="str" cm="1">
        <f t="array" aca="1" ref="E8" ca="1">IFERROR((OFFSET(G1,0,MATCH(LOOKUP(2,1/--(H12:DF12&lt;&gt;""),H12:DF12),H12:DF12,0),)),"")</f>
        <v/>
      </c>
      <c r="G8" s="19" t="s">
        <v>9</v>
      </c>
      <c r="H8" s="3">
        <f>COUNTIF(Tabela2[Matriz A],"&gt;="&amp;H3*1.1)</f>
        <v>0</v>
      </c>
      <c r="I8" s="3">
        <f>COUNTIF(Tabela2[Matriz B],"&gt;="&amp;I3*1.1)</f>
        <v>0</v>
      </c>
      <c r="J8" s="3">
        <f>COUNTIF(Tabela2[Matriz C],"&gt;="&amp;J3*1.1)</f>
        <v>0</v>
      </c>
      <c r="K8" s="3">
        <f>COUNTIF(Tabela2[1],"&gt;="&amp;K3*1.1)</f>
        <v>0</v>
      </c>
      <c r="L8" s="3">
        <f>COUNTIF(Tabela2[2],"&gt;="&amp;L3*1.1)</f>
        <v>0</v>
      </c>
      <c r="M8" s="3">
        <f>COUNTIF(Tabela2[3],"&gt;="&amp;M3*1.1)</f>
        <v>0</v>
      </c>
      <c r="N8" s="3">
        <f>COUNTIF(Tabela2[4],"&gt;="&amp;N3*1.1)</f>
        <v>0</v>
      </c>
      <c r="O8" s="3">
        <f>COUNTIF(Tabela2[5],"&gt;="&amp;O3*1.1)</f>
        <v>0</v>
      </c>
      <c r="P8" s="3">
        <f>COUNTIF(Tabela2[6],"&gt;="&amp;P3*1.1)</f>
        <v>0</v>
      </c>
      <c r="Q8" s="3">
        <f>COUNTIF(Tabela2[7],"&gt;="&amp;Q3*1.1)</f>
        <v>0</v>
      </c>
      <c r="R8" s="3">
        <f>COUNTIF(Tabela2[8],"&gt;="&amp;R3*1.1)</f>
        <v>0</v>
      </c>
      <c r="S8" s="3">
        <f>COUNTIF(Tabela2[9],"&gt;="&amp;S3*1.1)</f>
        <v>0</v>
      </c>
      <c r="T8" s="3">
        <f>COUNTIF(Tabela2[10],"&gt;="&amp;T3*1.1)</f>
        <v>0</v>
      </c>
      <c r="U8" s="3">
        <f>COUNTIF(Tabela2[11],"&gt;="&amp;U3*1.1)</f>
        <v>0</v>
      </c>
      <c r="V8" s="3">
        <f>COUNTIF(Tabela2[12],"&gt;="&amp;V3*1.1)</f>
        <v>0</v>
      </c>
      <c r="W8" s="3">
        <f>COUNTIF(Tabela2[13],"&gt;="&amp;W3*1.1)</f>
        <v>0</v>
      </c>
      <c r="X8" s="3">
        <f>COUNTIF(Tabela2[14],"&gt;="&amp;X3*1.1)</f>
        <v>0</v>
      </c>
      <c r="Y8" s="3">
        <f>COUNTIF(Tabela2[15],"&gt;="&amp;Y3*1.1)</f>
        <v>0</v>
      </c>
      <c r="Z8" s="3">
        <f>COUNTIF(Tabela2[16],"&gt;="&amp;Z3*1.1)</f>
        <v>0</v>
      </c>
      <c r="AA8" s="3">
        <f>COUNTIF(Tabela2[17],"&gt;="&amp;AA3*1.1)</f>
        <v>0</v>
      </c>
      <c r="AB8" s="3">
        <f>COUNTIF(Tabela2[18],"&gt;="&amp;AB3*1.1)</f>
        <v>0</v>
      </c>
      <c r="AC8" s="3">
        <f>COUNTIF(Tabela2[19],"&gt;="&amp;AC3*1.1)</f>
        <v>0</v>
      </c>
      <c r="AD8" s="3">
        <f>COUNTIF(Tabela2[20],"&gt;="&amp;AD3*1.1)</f>
        <v>0</v>
      </c>
      <c r="AE8" s="3">
        <f>COUNTIF(Tabela2[21],"&gt;="&amp;AE3*1.1)</f>
        <v>0</v>
      </c>
      <c r="AF8" s="3">
        <f>COUNTIF(Tabela2[22],"&gt;="&amp;AF3*1.1)</f>
        <v>0</v>
      </c>
      <c r="AG8" s="3">
        <f>COUNTIF(Tabela2[23],"&gt;="&amp;AG3*1.1)</f>
        <v>0</v>
      </c>
      <c r="AH8" s="3">
        <f>COUNTIF(Tabela2[24],"&gt;="&amp;AH3*1.1)</f>
        <v>0</v>
      </c>
      <c r="AI8" s="3">
        <f>COUNTIF(Tabela2[25],"&gt;="&amp;AI3*1.1)</f>
        <v>0</v>
      </c>
      <c r="AJ8" s="3">
        <f>COUNTIF(Tabela2[26],"&gt;="&amp;AJ3*1.1)</f>
        <v>0</v>
      </c>
      <c r="AK8" s="3">
        <f>COUNTIF(Tabela2[27],"&gt;="&amp;AK3*1.1)</f>
        <v>0</v>
      </c>
      <c r="AL8" s="3">
        <f>COUNTIF(Tabela2[28],"&gt;="&amp;AL3*1.1)</f>
        <v>0</v>
      </c>
      <c r="AM8" s="3">
        <f>COUNTIF(Tabela2[29],"&gt;="&amp;AM3*1.1)</f>
        <v>0</v>
      </c>
      <c r="AN8" s="3">
        <f>COUNTIF(Tabela2[30],"&gt;="&amp;AN3*1.1)</f>
        <v>0</v>
      </c>
      <c r="AO8" s="3">
        <f>COUNTIF(Tabela2[31],"&gt;="&amp;AO3*1.1)</f>
        <v>0</v>
      </c>
      <c r="AP8" s="3">
        <f>COUNTIF(Tabela2[32],"&gt;="&amp;AP3*1.1)</f>
        <v>0</v>
      </c>
      <c r="AQ8" s="3">
        <f>COUNTIF(Tabela2[33],"&gt;="&amp;AQ3*1.1)</f>
        <v>0</v>
      </c>
      <c r="AR8" s="3">
        <f>COUNTIF(Tabela2[34],"&gt;="&amp;AR3*1.1)</f>
        <v>0</v>
      </c>
      <c r="AS8" s="3">
        <f>COUNTIF(Tabela2[35],"&gt;="&amp;AS3*1.1)</f>
        <v>0</v>
      </c>
      <c r="AT8" s="3">
        <f>COUNTIF(Tabela2[36],"&gt;="&amp;AT3*1.1)</f>
        <v>0</v>
      </c>
      <c r="AU8" s="3">
        <f>COUNTIF(Tabela2[37],"&gt;="&amp;AU3*1.1)</f>
        <v>0</v>
      </c>
      <c r="AV8" s="3">
        <f>COUNTIF(Tabela2[38],"&gt;="&amp;AV3*1.1)</f>
        <v>0</v>
      </c>
      <c r="AW8" s="3">
        <f>COUNTIF(Tabela2[39],"&gt;="&amp;AW3*1.1)</f>
        <v>0</v>
      </c>
      <c r="AX8" s="3">
        <f>COUNTIF(Tabela2[40],"&gt;="&amp;AX3*1.1)</f>
        <v>0</v>
      </c>
      <c r="AY8" s="3">
        <f>COUNTIF(Tabela2[41],"&gt;="&amp;AY3*1.1)</f>
        <v>0</v>
      </c>
      <c r="AZ8" s="3">
        <f>COUNTIF(Tabela2[42],"&gt;="&amp;AZ3*1.1)</f>
        <v>0</v>
      </c>
      <c r="BA8" s="3">
        <f>COUNTIF(Tabela2[43],"&gt;="&amp;BA3*1.1)</f>
        <v>0</v>
      </c>
      <c r="BB8" s="3">
        <f>COUNTIF(Tabela2[44],"&gt;="&amp;BB3*1.1)</f>
        <v>0</v>
      </c>
      <c r="BC8" s="3">
        <f>COUNTIF(Tabela2[45],"&gt;="&amp;BC3*1.1)</f>
        <v>0</v>
      </c>
      <c r="BD8" s="3">
        <f>COUNTIF(Tabela2[46],"&gt;="&amp;BD3*1.1)</f>
        <v>0</v>
      </c>
      <c r="BE8" s="3">
        <f>COUNTIF(Tabela2[47],"&gt;="&amp;BE3*1.1)</f>
        <v>0</v>
      </c>
      <c r="BF8" s="3">
        <f>COUNTIF(Tabela2[48],"&gt;="&amp;BF3*1.1)</f>
        <v>0</v>
      </c>
      <c r="BG8" s="3">
        <f>COUNTIF(Tabela2[49],"&gt;="&amp;BG3*1.1)</f>
        <v>0</v>
      </c>
      <c r="BH8" s="3">
        <f>COUNTIF(Tabela2[50],"&gt;="&amp;BH3*1.1)</f>
        <v>0</v>
      </c>
      <c r="BI8" s="3">
        <f>COUNTIF(Tabela2[51],"&gt;="&amp;BI3*1.1)</f>
        <v>0</v>
      </c>
      <c r="BJ8" s="3">
        <f>COUNTIF(Tabela2[52],"&gt;="&amp;BJ3*1.1)</f>
        <v>0</v>
      </c>
      <c r="BK8" s="3">
        <f>COUNTIF(Tabela2[53],"&gt;="&amp;BK3*1.1)</f>
        <v>0</v>
      </c>
      <c r="BL8" s="3">
        <f>COUNTIF(Tabela2[54],"&gt;="&amp;BL3*1.1)</f>
        <v>0</v>
      </c>
      <c r="BM8" s="3">
        <f>COUNTIF(Tabela2[55],"&gt;="&amp;BM3*1.1)</f>
        <v>0</v>
      </c>
      <c r="BN8" s="3">
        <f>COUNTIF(Tabela2[56],"&gt;="&amp;BN3*1.1)</f>
        <v>0</v>
      </c>
      <c r="BO8" s="3">
        <f>COUNTIF(Tabela2[57],"&gt;="&amp;BO3*1.1)</f>
        <v>0</v>
      </c>
      <c r="BP8" s="3">
        <f>COUNTIF(Tabela2[58],"&gt;="&amp;BP3*1.1)</f>
        <v>0</v>
      </c>
      <c r="BQ8" s="3">
        <f>COUNTIF(Tabela2[59],"&gt;="&amp;BQ3*1.1)</f>
        <v>0</v>
      </c>
      <c r="BR8" s="3">
        <f>COUNTIF(Tabela2[60],"&gt;="&amp;BR3*1.1)</f>
        <v>0</v>
      </c>
      <c r="BS8" s="3">
        <f>COUNTIF(Tabela2[61],"&gt;="&amp;BS3*1.1)</f>
        <v>0</v>
      </c>
      <c r="BT8" s="3">
        <f>COUNTIF(Tabela2[62],"&gt;="&amp;BT3*1.1)</f>
        <v>0</v>
      </c>
      <c r="BU8" s="3">
        <f>COUNTIF(Tabela2[63],"&gt;="&amp;BU3*1.1)</f>
        <v>0</v>
      </c>
      <c r="BV8" s="3">
        <f>COUNTIF(Tabela2[64],"&gt;="&amp;BV3*1.1)</f>
        <v>0</v>
      </c>
      <c r="BW8" s="3">
        <f>COUNTIF(Tabela2[65],"&gt;="&amp;BW3*1.1)</f>
        <v>0</v>
      </c>
      <c r="BX8" s="3">
        <f>COUNTIF(Tabela2[66],"&gt;="&amp;BX3*1.1)</f>
        <v>0</v>
      </c>
      <c r="BY8" s="3">
        <f>COUNTIF(Tabela2[67],"&gt;="&amp;BY3*1.1)</f>
        <v>0</v>
      </c>
      <c r="BZ8" s="3">
        <f>COUNTIF(Tabela2[68],"&gt;="&amp;BZ3*1.1)</f>
        <v>0</v>
      </c>
      <c r="CA8" s="3">
        <f>COUNTIF(Tabela2[69],"&gt;="&amp;CA3*1.1)</f>
        <v>0</v>
      </c>
      <c r="CB8" s="3">
        <f>COUNTIF(Tabela2[70],"&gt;="&amp;CB3*1.1)</f>
        <v>0</v>
      </c>
      <c r="CC8" s="3">
        <f>COUNTIF(Tabela2[71],"&gt;="&amp;CC3*1.1)</f>
        <v>0</v>
      </c>
      <c r="CD8" s="3">
        <f>COUNTIF(Tabela2[72],"&gt;="&amp;CD3*1.1)</f>
        <v>0</v>
      </c>
      <c r="CE8" s="3">
        <f>COUNTIF(Tabela2[73],"&gt;="&amp;CE3*1.1)</f>
        <v>0</v>
      </c>
      <c r="CF8" s="3">
        <f>COUNTIF(Tabela2[74],"&gt;="&amp;CF3*1.1)</f>
        <v>0</v>
      </c>
      <c r="CG8" s="3">
        <f>COUNTIF(Tabela2[75],"&gt;="&amp;CG3*1.1)</f>
        <v>0</v>
      </c>
      <c r="CH8" s="3">
        <f>COUNTIF(Tabela2[76],"&gt;="&amp;CH3*1.1)</f>
        <v>0</v>
      </c>
      <c r="CI8" s="3">
        <f>COUNTIF(Tabela2[77],"&gt;="&amp;CI3*1.1)</f>
        <v>0</v>
      </c>
      <c r="CJ8" s="3">
        <f>COUNTIF(Tabela2[78],"&gt;="&amp;CJ3*1.1)</f>
        <v>0</v>
      </c>
      <c r="CK8" s="3">
        <f>COUNTIF(Tabela2[79],"&gt;="&amp;CK3*1.1)</f>
        <v>0</v>
      </c>
      <c r="CL8" s="3">
        <f>COUNTIF(Tabela2[80],"&gt;="&amp;CL3*1.1)</f>
        <v>0</v>
      </c>
      <c r="CM8" s="3">
        <f>COUNTIF(Tabela2[81],"&gt;="&amp;CM3*1.1)</f>
        <v>0</v>
      </c>
      <c r="CN8" s="3">
        <f>COUNTIF(Tabela2[82],"&gt;="&amp;CN3*1.1)</f>
        <v>0</v>
      </c>
      <c r="CO8" s="3">
        <f>COUNTIF(Tabela2[83],"&gt;="&amp;CO3*1.1)</f>
        <v>0</v>
      </c>
      <c r="CP8" s="3">
        <f>COUNTIF(Tabela2[84],"&gt;="&amp;CP3*1.1)</f>
        <v>0</v>
      </c>
      <c r="CQ8" s="3">
        <f>COUNTIF(Tabela2[85],"&gt;="&amp;CQ3*1.1)</f>
        <v>0</v>
      </c>
      <c r="CR8" s="3">
        <f>COUNTIF(Tabela2[86],"&gt;="&amp;CR3*1.1)</f>
        <v>0</v>
      </c>
      <c r="CS8" s="3">
        <f>COUNTIF(Tabela2[87],"&gt;="&amp;CS3*1.1)</f>
        <v>0</v>
      </c>
      <c r="CT8" s="3">
        <f>COUNTIF(Tabela2[88],"&gt;="&amp;CT3*1.1)</f>
        <v>0</v>
      </c>
      <c r="CU8" s="3">
        <f>COUNTIF(Tabela2[89],"&gt;="&amp;CU3*1.1)</f>
        <v>0</v>
      </c>
      <c r="CV8" s="3">
        <f>COUNTIF(Tabela2[90],"&gt;="&amp;CV3*1.1)</f>
        <v>0</v>
      </c>
      <c r="CW8" s="3">
        <f>COUNTIF(Tabela2[91],"&gt;="&amp;CW3*1.1)</f>
        <v>0</v>
      </c>
      <c r="CX8" s="3">
        <f>COUNTIF(Tabela2[92],"&gt;="&amp;CX3*1.1)</f>
        <v>0</v>
      </c>
      <c r="CY8" s="3">
        <f>COUNTIF(Tabela2[93],"&gt;="&amp;CY3*1.1)</f>
        <v>0</v>
      </c>
      <c r="CZ8" s="3">
        <f>COUNTIF(Tabela2[94],"&gt;="&amp;CZ3*1.1)</f>
        <v>0</v>
      </c>
      <c r="DA8" s="3">
        <f>COUNTIF(Tabela2[95],"&gt;="&amp;DA3*1.1)</f>
        <v>0</v>
      </c>
      <c r="DB8" s="3">
        <f>COUNTIF(Tabela2[96],"&gt;="&amp;DB3*1.1)</f>
        <v>0</v>
      </c>
      <c r="DC8" s="3">
        <f>COUNTIF(Tabela2[97],"&gt;="&amp;DC3*1.1)</f>
        <v>0</v>
      </c>
      <c r="DD8" s="3">
        <f>COUNTIF(Tabela2[98],"&gt;="&amp;DD3*1.1)</f>
        <v>0</v>
      </c>
      <c r="DE8" s="3">
        <f>COUNTIF(Tabela2[99],"&gt;="&amp;DE3*1.1)</f>
        <v>0</v>
      </c>
      <c r="DF8" s="3">
        <f>COUNTIF(Tabela2[100],"&gt;="&amp;DF3*1.1)</f>
        <v>0</v>
      </c>
    </row>
    <row r="9" spans="1:110" x14ac:dyDescent="0.25">
      <c r="G9" s="19" t="s">
        <v>10</v>
      </c>
      <c r="H9" s="76" t="str">
        <f>IFERROR(((_xlfn.STDEV.S(Tabela2[Matriz A]))/H3),"")</f>
        <v/>
      </c>
      <c r="I9" s="76" t="str">
        <f>IFERROR(((_xlfn.STDEV.S(Tabela2[Matriz B]))/I3),"")</f>
        <v/>
      </c>
      <c r="J9" s="76" t="str">
        <f>IFERROR(((_xlfn.STDEV.S(Tabela2[Matriz C]))/J3),"")</f>
        <v/>
      </c>
      <c r="K9" s="76" t="str">
        <f>IFERROR(((_xlfn.STDEV.S(Tabela2[1]))/K3),"")</f>
        <v/>
      </c>
      <c r="L9" s="76" t="str">
        <f>IFERROR(((_xlfn.STDEV.S(Tabela2[2]))/L3),"")</f>
        <v/>
      </c>
      <c r="M9" s="76" t="str">
        <f>IFERROR(((_xlfn.STDEV.S(Tabela2[3]))/M3),"")</f>
        <v/>
      </c>
      <c r="N9" s="76" t="str">
        <f>IFERROR(((_xlfn.STDEV.S(Tabela2[4]))/N3),"")</f>
        <v/>
      </c>
      <c r="O9" s="76" t="str">
        <f>IFERROR(((_xlfn.STDEV.S(Tabela2[5]))/O3),"")</f>
        <v/>
      </c>
      <c r="P9" s="76" t="str">
        <f>IFERROR(((_xlfn.STDEV.S(Tabela2[6]))/P3),"")</f>
        <v/>
      </c>
      <c r="Q9" s="76" t="str">
        <f>IFERROR(((_xlfn.STDEV.S(Tabela2[7]))/Q3),"")</f>
        <v/>
      </c>
      <c r="R9" s="76" t="str">
        <f>IFERROR(((_xlfn.STDEV.S(Tabela2[8]))/R3),"")</f>
        <v/>
      </c>
      <c r="S9" s="76" t="str">
        <f>IFERROR(((_xlfn.STDEV.S(Tabela2[9]))/S3),"")</f>
        <v/>
      </c>
      <c r="T9" s="76" t="str">
        <f>IFERROR(((_xlfn.STDEV.S(Tabela2[10]))/T3),"")</f>
        <v/>
      </c>
      <c r="U9" s="76" t="str">
        <f>IFERROR(((_xlfn.STDEV.S(Tabela2[11]))/U3),"")</f>
        <v/>
      </c>
      <c r="V9" s="76" t="str">
        <f>IFERROR(((_xlfn.STDEV.S(Tabela2[12]))/V3),"")</f>
        <v/>
      </c>
      <c r="W9" s="76" t="str">
        <f>IFERROR(((_xlfn.STDEV.S(Tabela2[13]))/W3),"")</f>
        <v/>
      </c>
      <c r="X9" s="76" t="str">
        <f>IFERROR(((_xlfn.STDEV.S(Tabela2[14]))/X3),"")</f>
        <v/>
      </c>
      <c r="Y9" s="76" t="str">
        <f>IFERROR(((_xlfn.STDEV.S(Tabela2[15]))/Y3),"")</f>
        <v/>
      </c>
      <c r="Z9" s="76" t="str">
        <f>IFERROR(((_xlfn.STDEV.S(Tabela2[16]))/Z3),"")</f>
        <v/>
      </c>
      <c r="AA9" s="76" t="str">
        <f>IFERROR(((_xlfn.STDEV.S(Tabela2[17]))/AA3),"")</f>
        <v/>
      </c>
      <c r="AB9" s="76" t="str">
        <f>IFERROR(((_xlfn.STDEV.S(Tabela2[18]))/AB3),"")</f>
        <v/>
      </c>
      <c r="AC9" s="76" t="str">
        <f>IFERROR(((_xlfn.STDEV.S(Tabela2[19]))/AC3),"")</f>
        <v/>
      </c>
      <c r="AD9" s="76" t="str">
        <f>IFERROR(((_xlfn.STDEV.S(Tabela2[20]))/AD3),"")</f>
        <v/>
      </c>
      <c r="AE9" s="76" t="str">
        <f>IFERROR(((_xlfn.STDEV.S(Tabela2[21]))/AE3),"")</f>
        <v/>
      </c>
      <c r="AF9" s="76" t="str">
        <f>IFERROR(((_xlfn.STDEV.S(Tabela2[22]))/AF3),"")</f>
        <v/>
      </c>
      <c r="AG9" s="76" t="str">
        <f>IFERROR(((_xlfn.STDEV.S(Tabela2[23]))/AG3),"")</f>
        <v/>
      </c>
      <c r="AH9" s="76" t="str">
        <f>IFERROR(((_xlfn.STDEV.S(Tabela2[24]))/AH3),"")</f>
        <v/>
      </c>
      <c r="AI9" s="76" t="str">
        <f>IFERROR(((_xlfn.STDEV.S(Tabela2[25]))/AI3),"")</f>
        <v/>
      </c>
      <c r="AJ9" s="76" t="str">
        <f>IFERROR(((_xlfn.STDEV.S(Tabela2[26]))/AJ3),"")</f>
        <v/>
      </c>
      <c r="AK9" s="76" t="str">
        <f>IFERROR(((_xlfn.STDEV.S(Tabela2[27]))/AK3),"")</f>
        <v/>
      </c>
      <c r="AL9" s="76" t="str">
        <f>IFERROR(((_xlfn.STDEV.S(Tabela2[28]))/AL3),"")</f>
        <v/>
      </c>
      <c r="AM9" s="76" t="str">
        <f>IFERROR(((_xlfn.STDEV.S(Tabela2[29]))/AM3),"")</f>
        <v/>
      </c>
      <c r="AN9" s="76" t="str">
        <f>IFERROR(((_xlfn.STDEV.S(Tabela2[30]))/AN3),"")</f>
        <v/>
      </c>
      <c r="AO9" s="76" t="str">
        <f>IFERROR(((_xlfn.STDEV.S(Tabela2[31]))/AO3),"")</f>
        <v/>
      </c>
      <c r="AP9" s="76" t="str">
        <f>IFERROR(((_xlfn.STDEV.S(Tabela2[32]))/AP3),"")</f>
        <v/>
      </c>
      <c r="AQ9" s="76" t="str">
        <f>IFERROR(((_xlfn.STDEV.S(Tabela2[33]))/AQ3),"")</f>
        <v/>
      </c>
      <c r="AR9" s="76" t="str">
        <f>IFERROR(((_xlfn.STDEV.S(Tabela2[34]))/AR3),"")</f>
        <v/>
      </c>
      <c r="AS9" s="76" t="str">
        <f>IFERROR(((_xlfn.STDEV.S(Tabela2[35]))/AS3),"")</f>
        <v/>
      </c>
      <c r="AT9" s="76" t="str">
        <f>IFERROR(((_xlfn.STDEV.S(Tabela2[36]))/AT3),"")</f>
        <v/>
      </c>
      <c r="AU9" s="76" t="str">
        <f>IFERROR(((_xlfn.STDEV.S(Tabela2[37]))/AU3),"")</f>
        <v/>
      </c>
      <c r="AV9" s="76" t="str">
        <f>IFERROR(((_xlfn.STDEV.S(Tabela2[38]))/AV3),"")</f>
        <v/>
      </c>
      <c r="AW9" s="76" t="str">
        <f>IFERROR(((_xlfn.STDEV.S(Tabela2[39]))/AW3),"")</f>
        <v/>
      </c>
      <c r="AX9" s="76" t="str">
        <f>IFERROR(((_xlfn.STDEV.S(Tabela2[40]))/AX3),"")</f>
        <v/>
      </c>
      <c r="AY9" s="76" t="str">
        <f>IFERROR(((_xlfn.STDEV.S(Tabela2[41]))/AY3),"")</f>
        <v/>
      </c>
      <c r="AZ9" s="76" t="str">
        <f>IFERROR(((_xlfn.STDEV.S(Tabela2[42]))/AZ3),"")</f>
        <v/>
      </c>
      <c r="BA9" s="76" t="str">
        <f>IFERROR(((_xlfn.STDEV.S(Tabela2[43]))/BA3),"")</f>
        <v/>
      </c>
      <c r="BB9" s="76" t="str">
        <f>IFERROR(((_xlfn.STDEV.S(Tabela2[44]))/BB3),"")</f>
        <v/>
      </c>
      <c r="BC9" s="76" t="str">
        <f>IFERROR(((_xlfn.STDEV.S(Tabela2[45]))/BC3),"")</f>
        <v/>
      </c>
      <c r="BD9" s="76" t="str">
        <f>IFERROR(((_xlfn.STDEV.S(Tabela2[46]))/BD3),"")</f>
        <v/>
      </c>
      <c r="BE9" s="76" t="str">
        <f>IFERROR(((_xlfn.STDEV.S(Tabela2[47]))/BE3),"")</f>
        <v/>
      </c>
      <c r="BF9" s="76" t="str">
        <f>IFERROR(((_xlfn.STDEV.S(Tabela2[48]))/BF3),"")</f>
        <v/>
      </c>
      <c r="BG9" s="76" t="str">
        <f>IFERROR(((_xlfn.STDEV.S(Tabela2[49]))/BG3),"")</f>
        <v/>
      </c>
      <c r="BH9" s="76" t="str">
        <f>IFERROR(((_xlfn.STDEV.S(Tabela2[50]))/BH3),"")</f>
        <v/>
      </c>
      <c r="BI9" s="76" t="str">
        <f>IFERROR(((_xlfn.STDEV.S(Tabela2[51]))/BI3),"")</f>
        <v/>
      </c>
      <c r="BJ9" s="76" t="str">
        <f>IFERROR(((_xlfn.STDEV.S(Tabela2[52]))/BJ3),"")</f>
        <v/>
      </c>
      <c r="BK9" s="76" t="str">
        <f>IFERROR(((_xlfn.STDEV.S(Tabela2[53]))/BK3),"")</f>
        <v/>
      </c>
      <c r="BL9" s="76" t="str">
        <f>IFERROR(((_xlfn.STDEV.S(Tabela2[54]))/BL3),"")</f>
        <v/>
      </c>
      <c r="BM9" s="76" t="str">
        <f>IFERROR(((_xlfn.STDEV.S(Tabela2[55]))/BM3),"")</f>
        <v/>
      </c>
      <c r="BN9" s="76" t="str">
        <f>IFERROR(((_xlfn.STDEV.S(Tabela2[56]))/BN3),"")</f>
        <v/>
      </c>
      <c r="BO9" s="76" t="str">
        <f>IFERROR(((_xlfn.STDEV.S(Tabela2[57]))/BO3),"")</f>
        <v/>
      </c>
      <c r="BP9" s="76" t="str">
        <f>IFERROR(((_xlfn.STDEV.S(Tabela2[58]))/BP3),"")</f>
        <v/>
      </c>
      <c r="BQ9" s="76" t="str">
        <f>IFERROR(((_xlfn.STDEV.S(Tabela2[59]))/BQ3),"")</f>
        <v/>
      </c>
      <c r="BR9" s="76" t="str">
        <f>IFERROR(((_xlfn.STDEV.S(Tabela2[60]))/BR3),"")</f>
        <v/>
      </c>
      <c r="BS9" s="76" t="str">
        <f>IFERROR(((_xlfn.STDEV.S(Tabela2[61]))/BS3),"")</f>
        <v/>
      </c>
      <c r="BT9" s="76" t="str">
        <f>IFERROR(((_xlfn.STDEV.S(Tabela2[62]))/BT3),"")</f>
        <v/>
      </c>
      <c r="BU9" s="76" t="str">
        <f>IFERROR(((_xlfn.STDEV.S(Tabela2[63]))/BU3),"")</f>
        <v/>
      </c>
      <c r="BV9" s="76" t="str">
        <f>IFERROR(((_xlfn.STDEV.S(Tabela2[64]))/BV3),"")</f>
        <v/>
      </c>
      <c r="BW9" s="76" t="str">
        <f>IFERROR(((_xlfn.STDEV.S(Tabela2[65]))/BW3),"")</f>
        <v/>
      </c>
      <c r="BX9" s="76" t="str">
        <f>IFERROR(((_xlfn.STDEV.S(Tabela2[66]))/BX3),"")</f>
        <v/>
      </c>
      <c r="BY9" s="76" t="str">
        <f>IFERROR(((_xlfn.STDEV.S(Tabela2[67]))/BY3),"")</f>
        <v/>
      </c>
      <c r="BZ9" s="76" t="str">
        <f>IFERROR(((_xlfn.STDEV.S(Tabela2[68]))/BZ3),"")</f>
        <v/>
      </c>
      <c r="CA9" s="76" t="str">
        <f>IFERROR(((_xlfn.STDEV.S(Tabela2[69]))/CA3),"")</f>
        <v/>
      </c>
      <c r="CB9" s="76" t="str">
        <f>IFERROR(((_xlfn.STDEV.S(Tabela2[70]))/CB3),"")</f>
        <v/>
      </c>
      <c r="CC9" s="76" t="str">
        <f>IFERROR(((_xlfn.STDEV.S(Tabela2[71]))/CC3),"")</f>
        <v/>
      </c>
      <c r="CD9" s="76" t="str">
        <f>IFERROR(((_xlfn.STDEV.S(Tabela2[72]))/CD3),"")</f>
        <v/>
      </c>
      <c r="CE9" s="76" t="str">
        <f>IFERROR(((_xlfn.STDEV.S(Tabela2[73]))/CE3),"")</f>
        <v/>
      </c>
      <c r="CF9" s="76" t="str">
        <f>IFERROR(((_xlfn.STDEV.S(Tabela2[74]))/CF3),"")</f>
        <v/>
      </c>
      <c r="CG9" s="76" t="str">
        <f>IFERROR(((_xlfn.STDEV.S(Tabela2[75]))/CG3),"")</f>
        <v/>
      </c>
      <c r="CH9" s="76" t="str">
        <f>IFERROR(((_xlfn.STDEV.S(Tabela2[76]))/CH3),"")</f>
        <v/>
      </c>
      <c r="CI9" s="76" t="str">
        <f>IFERROR(((_xlfn.STDEV.S(Tabela2[77]))/CI3),"")</f>
        <v/>
      </c>
      <c r="CJ9" s="76" t="str">
        <f>IFERROR(((_xlfn.STDEV.S(Tabela2[78]))/CJ3),"")</f>
        <v/>
      </c>
      <c r="CK9" s="76" t="str">
        <f>IFERROR(((_xlfn.STDEV.S(Tabela2[79]))/CK3),"")</f>
        <v/>
      </c>
      <c r="CL9" s="76" t="str">
        <f>IFERROR(((_xlfn.STDEV.S(Tabela2[80]))/CL3),"")</f>
        <v/>
      </c>
      <c r="CM9" s="76" t="str">
        <f>IFERROR(((_xlfn.STDEV.S(Tabela2[81]))/CM3),"")</f>
        <v/>
      </c>
      <c r="CN9" s="76" t="str">
        <f>IFERROR(((_xlfn.STDEV.S(Tabela2[82]))/CN3),"")</f>
        <v/>
      </c>
      <c r="CO9" s="76" t="str">
        <f>IFERROR(((_xlfn.STDEV.S(Tabela2[83]))/CO3),"")</f>
        <v/>
      </c>
      <c r="CP9" s="76" t="str">
        <f>IFERROR(((_xlfn.STDEV.S(Tabela2[84]))/CP3),"")</f>
        <v/>
      </c>
      <c r="CQ9" s="76" t="str">
        <f>IFERROR(((_xlfn.STDEV.S(Tabela2[85]))/CQ3),"")</f>
        <v/>
      </c>
      <c r="CR9" s="76" t="str">
        <f>IFERROR(((_xlfn.STDEV.S(Tabela2[86]))/CR3),"")</f>
        <v/>
      </c>
      <c r="CS9" s="76" t="str">
        <f>IFERROR(((_xlfn.STDEV.S(Tabela2[87]))/CS3),"")</f>
        <v/>
      </c>
      <c r="CT9" s="76" t="str">
        <f>IFERROR(((_xlfn.STDEV.S(Tabela2[88]))/CT3),"")</f>
        <v/>
      </c>
      <c r="CU9" s="76" t="str">
        <f>IFERROR(((_xlfn.STDEV.S(Tabela2[89]))/CU3),"")</f>
        <v/>
      </c>
      <c r="CV9" s="76" t="str">
        <f>IFERROR(((_xlfn.STDEV.S(Tabela2[90]))/CV3),"")</f>
        <v/>
      </c>
      <c r="CW9" s="76" t="str">
        <f>IFERROR(((_xlfn.STDEV.S(Tabela2[91]))/CW3),"")</f>
        <v/>
      </c>
      <c r="CX9" s="76" t="str">
        <f>IFERROR(((_xlfn.STDEV.S(Tabela2[92]))/CX3),"")</f>
        <v/>
      </c>
      <c r="CY9" s="76" t="str">
        <f>IFERROR(((_xlfn.STDEV.S(Tabela2[93]))/CY3),"")</f>
        <v/>
      </c>
      <c r="CZ9" s="76" t="str">
        <f>IFERROR(((_xlfn.STDEV.S(Tabela2[94]))/CZ3),"")</f>
        <v/>
      </c>
      <c r="DA9" s="76" t="str">
        <f>IFERROR(((_xlfn.STDEV.S(Tabela2[95]))/DA3),"")</f>
        <v/>
      </c>
      <c r="DB9" s="76" t="str">
        <f>IFERROR(((_xlfn.STDEV.S(Tabela2[96]))/DB3),"")</f>
        <v/>
      </c>
      <c r="DC9" s="76" t="str">
        <f>IFERROR(((_xlfn.STDEV.S(Tabela2[97]))/DC3),"")</f>
        <v/>
      </c>
      <c r="DD9" s="76" t="str">
        <f>IFERROR(((_xlfn.STDEV.S(Tabela2[98]))/DD3),"")</f>
        <v/>
      </c>
      <c r="DE9" s="76" t="str">
        <f>IFERROR(((_xlfn.STDEV.S(Tabela2[99]))/DE3),"")</f>
        <v/>
      </c>
      <c r="DF9" s="76" t="str">
        <f>IFERROR(((_xlfn.STDEV.S(Tabela2[100]))/DF3),"")</f>
        <v/>
      </c>
    </row>
    <row r="10" spans="1:110" ht="20.25" customHeight="1" x14ac:dyDescent="0.25">
      <c r="G10" s="20" t="s">
        <v>14</v>
      </c>
      <c r="H10" s="3">
        <f>COUNTA(Tabela2[Matriz A])</f>
        <v>0</v>
      </c>
      <c r="I10" s="3">
        <f>COUNTA(Tabela2[Matriz B])</f>
        <v>0</v>
      </c>
      <c r="J10" s="3">
        <f>COUNTA(Tabela2[Matriz C])</f>
        <v>0</v>
      </c>
      <c r="K10" s="3">
        <f>COUNTA(Tabela2[1])</f>
        <v>0</v>
      </c>
      <c r="L10" s="3">
        <f>COUNTA(Tabela2[2])</f>
        <v>0</v>
      </c>
      <c r="M10" s="3">
        <f>COUNTA(Tabela2[3])</f>
        <v>0</v>
      </c>
      <c r="N10" s="3">
        <f>COUNTA(Tabela2[4])</f>
        <v>0</v>
      </c>
      <c r="O10" s="3">
        <f>COUNTA(Tabela2[5])</f>
        <v>0</v>
      </c>
      <c r="P10" s="3">
        <f>COUNTA(Tabela2[6])</f>
        <v>0</v>
      </c>
      <c r="Q10" s="3">
        <f>COUNTA(Tabela2[7])</f>
        <v>0</v>
      </c>
      <c r="R10" s="3">
        <f>COUNTA(Tabela2[8])</f>
        <v>0</v>
      </c>
      <c r="S10" s="3">
        <f>COUNTA(Tabela2[9])</f>
        <v>0</v>
      </c>
      <c r="T10" s="3">
        <f>COUNTA(Tabela2[10])</f>
        <v>0</v>
      </c>
      <c r="U10" s="3">
        <f>COUNTA(Tabela2[11])</f>
        <v>0</v>
      </c>
      <c r="V10" s="3">
        <f>COUNTA(Tabela2[12])</f>
        <v>0</v>
      </c>
      <c r="W10" s="3">
        <f>COUNTA(Tabela2[13])</f>
        <v>0</v>
      </c>
      <c r="X10" s="3">
        <f>COUNTA(Tabela2[14])</f>
        <v>0</v>
      </c>
      <c r="Y10" s="3">
        <f>COUNTA(Tabela2[15])</f>
        <v>0</v>
      </c>
      <c r="Z10" s="3">
        <f>COUNTA(Tabela2[16])</f>
        <v>0</v>
      </c>
      <c r="AA10" s="3">
        <f>COUNTA(Tabela2[17])</f>
        <v>0</v>
      </c>
      <c r="AB10" s="3">
        <f>COUNTA(Tabela2[18])</f>
        <v>0</v>
      </c>
      <c r="AC10" s="3">
        <f>COUNTA(Tabela2[19])</f>
        <v>0</v>
      </c>
      <c r="AD10" s="3">
        <f>COUNTA(Tabela2[20])</f>
        <v>0</v>
      </c>
      <c r="AE10" s="3">
        <f>COUNTA(Tabela2[21])</f>
        <v>0</v>
      </c>
      <c r="AF10" s="3">
        <f>COUNTA(Tabela2[22])</f>
        <v>0</v>
      </c>
      <c r="AG10" s="3">
        <f>COUNTA(Tabela2[23])</f>
        <v>0</v>
      </c>
      <c r="AH10" s="3">
        <f>COUNTA(Tabela2[24])</f>
        <v>0</v>
      </c>
      <c r="AI10" s="3">
        <f>COUNTA(Tabela2[25])</f>
        <v>0</v>
      </c>
      <c r="AJ10" s="3">
        <f>COUNTA(Tabela2[26])</f>
        <v>0</v>
      </c>
      <c r="AK10" s="3">
        <f>COUNTA(Tabela2[27])</f>
        <v>0</v>
      </c>
      <c r="AL10" s="3">
        <f>COUNTA(Tabela2[28])</f>
        <v>0</v>
      </c>
      <c r="AM10" s="3">
        <f>COUNTA(Tabela2[29])</f>
        <v>0</v>
      </c>
      <c r="AN10" s="3">
        <f>COUNTA(Tabela2[30])</f>
        <v>0</v>
      </c>
      <c r="AO10" s="3">
        <f>COUNTA(Tabela2[31])</f>
        <v>0</v>
      </c>
      <c r="AP10" s="3">
        <f>COUNTA(Tabela2[32])</f>
        <v>0</v>
      </c>
      <c r="AQ10" s="3">
        <f>COUNTA(Tabela2[33])</f>
        <v>0</v>
      </c>
      <c r="AR10" s="3">
        <f>COUNTA(Tabela2[34])</f>
        <v>0</v>
      </c>
      <c r="AS10" s="3">
        <f>COUNTA(Tabela2[35])</f>
        <v>0</v>
      </c>
      <c r="AT10" s="3">
        <f>COUNTA(Tabela2[36])</f>
        <v>0</v>
      </c>
      <c r="AU10" s="3">
        <f>COUNTA(Tabela2[37])</f>
        <v>0</v>
      </c>
      <c r="AV10" s="3">
        <f>COUNTA(Tabela2[38])</f>
        <v>0</v>
      </c>
      <c r="AW10" s="3">
        <f>COUNTA(Tabela2[39])</f>
        <v>0</v>
      </c>
      <c r="AX10" s="3">
        <f>COUNTA(Tabela2[40])</f>
        <v>0</v>
      </c>
      <c r="AY10" s="3">
        <f>COUNTA(Tabela2[41])</f>
        <v>0</v>
      </c>
      <c r="AZ10" s="3">
        <f>COUNTA(Tabela2[42])</f>
        <v>0</v>
      </c>
      <c r="BA10" s="3">
        <f>COUNTA(Tabela2[43])</f>
        <v>0</v>
      </c>
      <c r="BB10" s="3">
        <f>COUNTA(Tabela2[44])</f>
        <v>0</v>
      </c>
      <c r="BC10" s="3">
        <f>COUNTA(Tabela2[45])</f>
        <v>0</v>
      </c>
      <c r="BD10" s="3">
        <f>COUNTA(Tabela2[46])</f>
        <v>0</v>
      </c>
      <c r="BE10" s="3">
        <f>COUNTA(Tabela2[47])</f>
        <v>0</v>
      </c>
      <c r="BF10" s="3">
        <f>COUNTA(Tabela2[48])</f>
        <v>0</v>
      </c>
      <c r="BG10" s="3">
        <f>COUNTA(Tabela2[49])</f>
        <v>0</v>
      </c>
      <c r="BH10" s="3">
        <f>COUNTA(Tabela2[50])</f>
        <v>0</v>
      </c>
      <c r="BI10" s="3">
        <f>COUNTA(Tabela2[51])</f>
        <v>0</v>
      </c>
      <c r="BJ10" s="3">
        <f>COUNTA(Tabela2[52])</f>
        <v>0</v>
      </c>
      <c r="BK10" s="3">
        <f>COUNTA(Tabela2[53])</f>
        <v>0</v>
      </c>
      <c r="BL10" s="3">
        <f>COUNTA(Tabela2[54])</f>
        <v>0</v>
      </c>
      <c r="BM10" s="3">
        <f>COUNTA(Tabela2[55])</f>
        <v>0</v>
      </c>
      <c r="BN10" s="3">
        <f>COUNTA(Tabela2[56])</f>
        <v>0</v>
      </c>
      <c r="BO10" s="3">
        <f>COUNTA(Tabela2[57])</f>
        <v>0</v>
      </c>
      <c r="BP10" s="3">
        <f>COUNTA(Tabela2[58])</f>
        <v>0</v>
      </c>
      <c r="BQ10" s="3">
        <f>COUNTA(Tabela2[59])</f>
        <v>0</v>
      </c>
      <c r="BR10" s="3">
        <f>COUNTA(Tabela2[60])</f>
        <v>0</v>
      </c>
      <c r="BS10" s="3">
        <f>COUNTA(Tabela2[61])</f>
        <v>0</v>
      </c>
      <c r="BT10" s="3">
        <f>COUNTA(Tabela2[62])</f>
        <v>0</v>
      </c>
      <c r="BU10" s="3">
        <f>COUNTA(Tabela2[63])</f>
        <v>0</v>
      </c>
      <c r="BV10" s="3">
        <f>COUNTA(Tabela2[64])</f>
        <v>0</v>
      </c>
      <c r="BW10" s="3">
        <f>COUNTA(Tabela2[65])</f>
        <v>0</v>
      </c>
      <c r="BX10" s="3">
        <f>COUNTA(Tabela2[66])</f>
        <v>0</v>
      </c>
      <c r="BY10" s="3">
        <f>COUNTA(Tabela2[67])</f>
        <v>0</v>
      </c>
      <c r="BZ10" s="3">
        <f>COUNTA(Tabela2[68])</f>
        <v>0</v>
      </c>
      <c r="CA10" s="3">
        <f>COUNTA(Tabela2[69])</f>
        <v>0</v>
      </c>
      <c r="CB10" s="3">
        <f>COUNTA(Tabela2[70])</f>
        <v>0</v>
      </c>
      <c r="CC10" s="3">
        <f>COUNTA(Tabela2[71])</f>
        <v>0</v>
      </c>
      <c r="CD10" s="3">
        <f>COUNTA(Tabela2[72])</f>
        <v>0</v>
      </c>
      <c r="CE10" s="3">
        <f>COUNTA(Tabela2[73])</f>
        <v>0</v>
      </c>
      <c r="CF10" s="3">
        <f>COUNTA(Tabela2[74])</f>
        <v>0</v>
      </c>
      <c r="CG10" s="3">
        <f>COUNTA(Tabela2[75])</f>
        <v>0</v>
      </c>
      <c r="CH10" s="3">
        <f>COUNTA(Tabela2[76])</f>
        <v>0</v>
      </c>
      <c r="CI10" s="3">
        <f>COUNTA(Tabela2[77])</f>
        <v>0</v>
      </c>
      <c r="CJ10" s="3">
        <f>COUNTA(Tabela2[78])</f>
        <v>0</v>
      </c>
      <c r="CK10" s="3">
        <f>COUNTA(Tabela2[79])</f>
        <v>0</v>
      </c>
      <c r="CL10" s="3">
        <f>COUNTA(Tabela2[80])</f>
        <v>0</v>
      </c>
      <c r="CM10" s="3">
        <f>COUNTA(Tabela2[81])</f>
        <v>0</v>
      </c>
      <c r="CN10" s="3">
        <f>COUNTA(Tabela2[82])</f>
        <v>0</v>
      </c>
      <c r="CO10" s="3">
        <f>COUNTA(Tabela2[83])</f>
        <v>0</v>
      </c>
      <c r="CP10" s="3">
        <f>COUNTA(Tabela2[84])</f>
        <v>0</v>
      </c>
      <c r="CQ10" s="3">
        <f>COUNTA(Tabela2[85])</f>
        <v>0</v>
      </c>
      <c r="CR10" s="3">
        <f>COUNTA(Tabela2[86])</f>
        <v>0</v>
      </c>
      <c r="CS10" s="3">
        <f>COUNTA(Tabela2[87])</f>
        <v>0</v>
      </c>
      <c r="CT10" s="3">
        <f>COUNTA(Tabela2[88])</f>
        <v>0</v>
      </c>
      <c r="CU10" s="3">
        <f>COUNTA(Tabela2[89])</f>
        <v>0</v>
      </c>
      <c r="CV10" s="3">
        <f>COUNTA(Tabela2[90])</f>
        <v>0</v>
      </c>
      <c r="CW10" s="3">
        <f>COUNTA(Tabela2[91])</f>
        <v>0</v>
      </c>
      <c r="CX10" s="3">
        <f>COUNTA(Tabela2[92])</f>
        <v>0</v>
      </c>
      <c r="CY10" s="3">
        <f>COUNTA(Tabela2[93])</f>
        <v>0</v>
      </c>
      <c r="CZ10" s="3">
        <f>COUNTA(Tabela2[94])</f>
        <v>0</v>
      </c>
      <c r="DA10" s="3">
        <f>COUNTA(Tabela2[95])</f>
        <v>0</v>
      </c>
      <c r="DB10" s="3">
        <f>COUNTA(Tabela2[96])</f>
        <v>0</v>
      </c>
      <c r="DC10" s="3">
        <f>COUNTA(Tabela2[97])</f>
        <v>0</v>
      </c>
      <c r="DD10" s="3">
        <f>COUNTA(Tabela2[98])</f>
        <v>0</v>
      </c>
      <c r="DE10" s="3">
        <f>COUNTA(Tabela2[99])</f>
        <v>0</v>
      </c>
      <c r="DF10" s="3">
        <f>COUNTA(Tabela2[100])</f>
        <v>0</v>
      </c>
    </row>
    <row r="11" spans="1:110" x14ac:dyDescent="0.25">
      <c r="B11" s="17"/>
      <c r="H11" s="6" t="s">
        <v>11</v>
      </c>
      <c r="I11" s="6" t="s">
        <v>12</v>
      </c>
      <c r="J11" s="6" t="s">
        <v>13</v>
      </c>
      <c r="K11" s="6" t="s">
        <v>316</v>
      </c>
      <c r="L11" s="6" t="s">
        <v>317</v>
      </c>
      <c r="M11" s="6" t="s">
        <v>318</v>
      </c>
      <c r="N11" s="6" t="s">
        <v>319</v>
      </c>
      <c r="O11" s="6" t="s">
        <v>320</v>
      </c>
      <c r="P11" s="6" t="s">
        <v>321</v>
      </c>
      <c r="Q11" s="6" t="s">
        <v>322</v>
      </c>
      <c r="R11" s="6" t="s">
        <v>323</v>
      </c>
      <c r="S11" s="6" t="s">
        <v>324</v>
      </c>
      <c r="T11" s="6" t="s">
        <v>325</v>
      </c>
      <c r="U11" s="6" t="s">
        <v>326</v>
      </c>
      <c r="V11" s="6" t="s">
        <v>327</v>
      </c>
      <c r="W11" s="6" t="s">
        <v>328</v>
      </c>
      <c r="X11" s="6" t="s">
        <v>329</v>
      </c>
      <c r="Y11" s="6" t="s">
        <v>330</v>
      </c>
      <c r="Z11" s="6" t="s">
        <v>331</v>
      </c>
      <c r="AA11" s="6" t="s">
        <v>332</v>
      </c>
      <c r="AB11" s="6" t="s">
        <v>333</v>
      </c>
      <c r="AC11" s="6" t="s">
        <v>334</v>
      </c>
      <c r="AD11" s="6" t="s">
        <v>335</v>
      </c>
      <c r="AE11" s="6" t="s">
        <v>336</v>
      </c>
      <c r="AF11" s="6" t="s">
        <v>337</v>
      </c>
      <c r="AG11" s="6" t="s">
        <v>338</v>
      </c>
      <c r="AH11" s="6" t="s">
        <v>339</v>
      </c>
      <c r="AI11" s="6" t="s">
        <v>340</v>
      </c>
      <c r="AJ11" s="6" t="s">
        <v>341</v>
      </c>
      <c r="AK11" s="6" t="s">
        <v>342</v>
      </c>
      <c r="AL11" s="6" t="s">
        <v>343</v>
      </c>
      <c r="AM11" s="6" t="s">
        <v>344</v>
      </c>
      <c r="AN11" s="6" t="s">
        <v>345</v>
      </c>
      <c r="AO11" s="6" t="s">
        <v>346</v>
      </c>
      <c r="AP11" s="6" t="s">
        <v>347</v>
      </c>
      <c r="AQ11" s="6" t="s">
        <v>348</v>
      </c>
      <c r="AR11" s="6" t="s">
        <v>349</v>
      </c>
      <c r="AS11" s="6" t="s">
        <v>350</v>
      </c>
      <c r="AT11" s="6" t="s">
        <v>351</v>
      </c>
      <c r="AU11" s="6" t="s">
        <v>352</v>
      </c>
      <c r="AV11" s="6" t="s">
        <v>353</v>
      </c>
      <c r="AW11" s="6" t="s">
        <v>354</v>
      </c>
      <c r="AX11" s="6" t="s">
        <v>355</v>
      </c>
      <c r="AY11" s="6" t="s">
        <v>356</v>
      </c>
      <c r="AZ11" s="6" t="s">
        <v>357</v>
      </c>
      <c r="BA11" s="6" t="s">
        <v>358</v>
      </c>
      <c r="BB11" s="6" t="s">
        <v>359</v>
      </c>
      <c r="BC11" s="6" t="s">
        <v>360</v>
      </c>
      <c r="BD11" s="6" t="s">
        <v>361</v>
      </c>
      <c r="BE11" s="6" t="s">
        <v>362</v>
      </c>
      <c r="BF11" s="6" t="s">
        <v>363</v>
      </c>
      <c r="BG11" s="6" t="s">
        <v>364</v>
      </c>
      <c r="BH11" s="6" t="s">
        <v>365</v>
      </c>
      <c r="BI11" s="6" t="s">
        <v>366</v>
      </c>
      <c r="BJ11" s="6" t="s">
        <v>367</v>
      </c>
      <c r="BK11" s="6" t="s">
        <v>368</v>
      </c>
      <c r="BL11" s="6" t="s">
        <v>369</v>
      </c>
      <c r="BM11" s="6" t="s">
        <v>370</v>
      </c>
      <c r="BN11" s="6" t="s">
        <v>371</v>
      </c>
      <c r="BO11" s="6" t="s">
        <v>372</v>
      </c>
      <c r="BP11" s="6" t="s">
        <v>373</v>
      </c>
      <c r="BQ11" s="6" t="s">
        <v>374</v>
      </c>
      <c r="BR11" s="6" t="s">
        <v>375</v>
      </c>
      <c r="BS11" s="6" t="s">
        <v>376</v>
      </c>
      <c r="BT11" s="6" t="s">
        <v>377</v>
      </c>
      <c r="BU11" s="6" t="s">
        <v>378</v>
      </c>
      <c r="BV11" s="6" t="s">
        <v>379</v>
      </c>
      <c r="BW11" s="6" t="s">
        <v>380</v>
      </c>
      <c r="BX11" s="6" t="s">
        <v>381</v>
      </c>
      <c r="BY11" s="6" t="s">
        <v>382</v>
      </c>
      <c r="BZ11" s="6" t="s">
        <v>383</v>
      </c>
      <c r="CA11" s="6" t="s">
        <v>384</v>
      </c>
      <c r="CB11" s="6" t="s">
        <v>385</v>
      </c>
      <c r="CC11" s="6" t="s">
        <v>386</v>
      </c>
      <c r="CD11" s="6" t="s">
        <v>387</v>
      </c>
      <c r="CE11" s="6" t="s">
        <v>388</v>
      </c>
      <c r="CF11" s="6" t="s">
        <v>389</v>
      </c>
      <c r="CG11" s="6" t="s">
        <v>390</v>
      </c>
      <c r="CH11" s="6" t="s">
        <v>391</v>
      </c>
      <c r="CI11" s="6" t="s">
        <v>392</v>
      </c>
      <c r="CJ11" s="6" t="s">
        <v>393</v>
      </c>
      <c r="CK11" s="6" t="s">
        <v>394</v>
      </c>
      <c r="CL11" s="6" t="s">
        <v>395</v>
      </c>
      <c r="CM11" s="6" t="s">
        <v>396</v>
      </c>
      <c r="CN11" s="6" t="s">
        <v>397</v>
      </c>
      <c r="CO11" s="6" t="s">
        <v>398</v>
      </c>
      <c r="CP11" s="6" t="s">
        <v>399</v>
      </c>
      <c r="CQ11" s="6" t="s">
        <v>400</v>
      </c>
      <c r="CR11" s="6" t="s">
        <v>401</v>
      </c>
      <c r="CS11" s="6" t="s">
        <v>402</v>
      </c>
      <c r="CT11" s="6" t="s">
        <v>403</v>
      </c>
      <c r="CU11" s="6" t="s">
        <v>404</v>
      </c>
      <c r="CV11" s="6" t="s">
        <v>405</v>
      </c>
      <c r="CW11" s="6" t="s">
        <v>406</v>
      </c>
      <c r="CX11" s="6" t="s">
        <v>407</v>
      </c>
      <c r="CY11" s="6" t="s">
        <v>408</v>
      </c>
      <c r="CZ11" s="6" t="s">
        <v>409</v>
      </c>
      <c r="DA11" s="6" t="s">
        <v>410</v>
      </c>
      <c r="DB11" s="6" t="s">
        <v>411</v>
      </c>
      <c r="DC11" s="6" t="s">
        <v>412</v>
      </c>
      <c r="DD11" s="6" t="s">
        <v>413</v>
      </c>
      <c r="DE11" s="6" t="s">
        <v>414</v>
      </c>
      <c r="DF11" s="6" t="s">
        <v>415</v>
      </c>
    </row>
    <row r="12" spans="1:110" x14ac:dyDescent="0.25">
      <c r="B12" s="17"/>
      <c r="G12" s="11" t="s">
        <v>15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</row>
    <row r="13" spans="1:110" x14ac:dyDescent="0.25">
      <c r="B13" s="17"/>
      <c r="G13" s="11" t="s">
        <v>16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</row>
    <row r="14" spans="1:110" x14ac:dyDescent="0.25">
      <c r="G14" s="11" t="s">
        <v>17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</row>
    <row r="15" spans="1:110" x14ac:dyDescent="0.25">
      <c r="G15" s="11" t="s">
        <v>18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</row>
    <row r="16" spans="1:110" x14ac:dyDescent="0.25">
      <c r="G16" s="11" t="s">
        <v>19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</row>
    <row r="17" spans="7:110" x14ac:dyDescent="0.25">
      <c r="G17" s="11" t="s">
        <v>20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</row>
    <row r="18" spans="7:110" x14ac:dyDescent="0.25">
      <c r="G18" s="11" t="s">
        <v>21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</row>
    <row r="19" spans="7:110" x14ac:dyDescent="0.25">
      <c r="G19" s="11" t="s">
        <v>22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</row>
    <row r="20" spans="7:110" x14ac:dyDescent="0.25">
      <c r="G20" s="11" t="s">
        <v>23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</row>
    <row r="21" spans="7:110" x14ac:dyDescent="0.25">
      <c r="G21" s="11" t="s">
        <v>24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</row>
    <row r="22" spans="7:110" x14ac:dyDescent="0.25">
      <c r="G22" s="11" t="s">
        <v>25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</row>
    <row r="23" spans="7:110" x14ac:dyDescent="0.25">
      <c r="G23" s="11" t="s">
        <v>26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</row>
    <row r="24" spans="7:110" x14ac:dyDescent="0.25">
      <c r="G24" s="11" t="s">
        <v>27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</row>
    <row r="25" spans="7:110" x14ac:dyDescent="0.25">
      <c r="G25" s="11" t="s">
        <v>28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</row>
    <row r="26" spans="7:110" x14ac:dyDescent="0.25">
      <c r="G26" s="11" t="s">
        <v>29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</row>
    <row r="27" spans="7:110" x14ac:dyDescent="0.25">
      <c r="G27" s="11" t="s">
        <v>30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</row>
    <row r="28" spans="7:110" x14ac:dyDescent="0.25">
      <c r="G28" s="11" t="s">
        <v>31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</row>
    <row r="29" spans="7:110" x14ac:dyDescent="0.25">
      <c r="G29" s="11" t="s">
        <v>32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</row>
    <row r="30" spans="7:110" x14ac:dyDescent="0.25">
      <c r="G30" s="11" t="s">
        <v>33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</row>
    <row r="31" spans="7:110" x14ac:dyDescent="0.25">
      <c r="G31" s="11" t="s">
        <v>34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</row>
    <row r="32" spans="7:110" x14ac:dyDescent="0.25">
      <c r="G32" s="11" t="s">
        <v>35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</row>
    <row r="33" spans="7:110" x14ac:dyDescent="0.25">
      <c r="G33" s="11" t="s">
        <v>36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</row>
    <row r="34" spans="7:110" x14ac:dyDescent="0.25">
      <c r="G34" s="11" t="s">
        <v>37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</row>
    <row r="35" spans="7:110" x14ac:dyDescent="0.25">
      <c r="G35" s="11" t="s">
        <v>38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</row>
    <row r="36" spans="7:110" x14ac:dyDescent="0.25">
      <c r="G36" s="11" t="s">
        <v>39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</row>
    <row r="37" spans="7:110" x14ac:dyDescent="0.25">
      <c r="G37" s="11" t="s">
        <v>40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</row>
    <row r="38" spans="7:110" x14ac:dyDescent="0.25">
      <c r="G38" s="11" t="s">
        <v>41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</row>
    <row r="39" spans="7:110" x14ac:dyDescent="0.25">
      <c r="G39" s="11" t="s">
        <v>42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</row>
    <row r="40" spans="7:110" x14ac:dyDescent="0.25">
      <c r="G40" s="11" t="s">
        <v>43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</row>
    <row r="41" spans="7:110" x14ac:dyDescent="0.25">
      <c r="G41" s="11" t="s">
        <v>44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</row>
    <row r="42" spans="7:110" x14ac:dyDescent="0.25">
      <c r="G42" s="11" t="s">
        <v>45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</row>
    <row r="43" spans="7:110" x14ac:dyDescent="0.25">
      <c r="G43" s="11" t="s">
        <v>46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</row>
    <row r="44" spans="7:110" x14ac:dyDescent="0.25">
      <c r="G44" s="11" t="s">
        <v>47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</row>
    <row r="45" spans="7:110" x14ac:dyDescent="0.25">
      <c r="G45" s="11" t="s">
        <v>48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</row>
    <row r="46" spans="7:110" x14ac:dyDescent="0.25">
      <c r="G46" s="11" t="s">
        <v>49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</row>
    <row r="47" spans="7:110" x14ac:dyDescent="0.25">
      <c r="G47" s="11" t="s">
        <v>50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</row>
    <row r="48" spans="7:110" x14ac:dyDescent="0.25">
      <c r="G48" s="11" t="s">
        <v>51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</row>
    <row r="49" spans="7:110" x14ac:dyDescent="0.25">
      <c r="G49" s="11" t="s">
        <v>52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</row>
    <row r="50" spans="7:110" x14ac:dyDescent="0.25">
      <c r="G50" s="11" t="s">
        <v>53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</row>
    <row r="51" spans="7:110" x14ac:dyDescent="0.25">
      <c r="G51" s="11" t="s">
        <v>54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</row>
    <row r="52" spans="7:110" x14ac:dyDescent="0.25">
      <c r="G52" s="11" t="s">
        <v>55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</row>
    <row r="53" spans="7:110" x14ac:dyDescent="0.25">
      <c r="G53" s="11" t="s">
        <v>56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</row>
    <row r="54" spans="7:110" x14ac:dyDescent="0.25">
      <c r="G54" s="11" t="s">
        <v>57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</row>
    <row r="55" spans="7:110" x14ac:dyDescent="0.25">
      <c r="G55" s="11" t="s">
        <v>58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</row>
    <row r="56" spans="7:110" x14ac:dyDescent="0.25">
      <c r="G56" s="11" t="s">
        <v>59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</row>
    <row r="57" spans="7:110" x14ac:dyDescent="0.25">
      <c r="G57" s="11" t="s">
        <v>60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</row>
    <row r="58" spans="7:110" x14ac:dyDescent="0.25">
      <c r="G58" s="11" t="s">
        <v>61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</row>
    <row r="59" spans="7:110" x14ac:dyDescent="0.25">
      <c r="G59" s="11" t="s">
        <v>62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</row>
    <row r="60" spans="7:110" x14ac:dyDescent="0.25">
      <c r="G60" s="11" t="s">
        <v>63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</row>
    <row r="61" spans="7:110" x14ac:dyDescent="0.25">
      <c r="G61" s="11" t="s">
        <v>64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</row>
    <row r="62" spans="7:110" x14ac:dyDescent="0.25">
      <c r="G62" s="11" t="s">
        <v>65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</row>
    <row r="63" spans="7:110" x14ac:dyDescent="0.25">
      <c r="G63" s="11" t="s">
        <v>66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</row>
    <row r="64" spans="7:110" x14ac:dyDescent="0.25">
      <c r="G64" s="11" t="s">
        <v>67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</row>
    <row r="65" spans="7:110" x14ac:dyDescent="0.25">
      <c r="G65" s="11" t="s">
        <v>68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</row>
    <row r="66" spans="7:110" x14ac:dyDescent="0.25">
      <c r="G66" s="11" t="s">
        <v>69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</row>
    <row r="67" spans="7:110" x14ac:dyDescent="0.25">
      <c r="G67" s="11" t="s">
        <v>70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</row>
    <row r="68" spans="7:110" x14ac:dyDescent="0.25">
      <c r="G68" s="11" t="s">
        <v>71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</row>
    <row r="69" spans="7:110" x14ac:dyDescent="0.25">
      <c r="G69" s="11" t="s">
        <v>72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</row>
    <row r="70" spans="7:110" x14ac:dyDescent="0.25">
      <c r="G70" s="11" t="s">
        <v>73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</row>
    <row r="71" spans="7:110" x14ac:dyDescent="0.25">
      <c r="G71" s="11" t="s">
        <v>74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</row>
    <row r="72" spans="7:110" x14ac:dyDescent="0.25">
      <c r="G72" s="11" t="s">
        <v>75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</row>
    <row r="73" spans="7:110" x14ac:dyDescent="0.25">
      <c r="G73" s="11" t="s">
        <v>76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</row>
    <row r="74" spans="7:110" x14ac:dyDescent="0.25">
      <c r="G74" s="11" t="s">
        <v>77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</row>
    <row r="75" spans="7:110" x14ac:dyDescent="0.25">
      <c r="G75" s="11" t="s">
        <v>78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</row>
    <row r="76" spans="7:110" x14ac:dyDescent="0.25">
      <c r="G76" s="11" t="s">
        <v>79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</row>
    <row r="77" spans="7:110" x14ac:dyDescent="0.25">
      <c r="G77" s="11" t="s">
        <v>80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</row>
    <row r="78" spans="7:110" x14ac:dyDescent="0.25">
      <c r="G78" s="11" t="s">
        <v>81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</row>
    <row r="79" spans="7:110" x14ac:dyDescent="0.25">
      <c r="G79" s="11" t="s">
        <v>82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</row>
    <row r="80" spans="7:110" x14ac:dyDescent="0.25">
      <c r="G80" s="11" t="s">
        <v>83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</row>
    <row r="81" spans="7:110" x14ac:dyDescent="0.25">
      <c r="G81" s="11" t="s">
        <v>84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</row>
    <row r="82" spans="7:110" x14ac:dyDescent="0.25">
      <c r="G82" s="11" t="s">
        <v>85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</row>
    <row r="83" spans="7:110" x14ac:dyDescent="0.25">
      <c r="G83" s="11" t="s">
        <v>86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</row>
    <row r="84" spans="7:110" x14ac:dyDescent="0.25">
      <c r="G84" s="11" t="s">
        <v>87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</row>
    <row r="85" spans="7:110" x14ac:dyDescent="0.25">
      <c r="G85" s="11" t="s">
        <v>88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</row>
    <row r="86" spans="7:110" x14ac:dyDescent="0.25">
      <c r="G86" s="11" t="s">
        <v>89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</row>
    <row r="87" spans="7:110" x14ac:dyDescent="0.25">
      <c r="G87" s="11" t="s">
        <v>90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</row>
    <row r="88" spans="7:110" x14ac:dyDescent="0.25">
      <c r="G88" s="11" t="s">
        <v>91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</row>
    <row r="89" spans="7:110" x14ac:dyDescent="0.25">
      <c r="G89" s="11" t="s">
        <v>92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</row>
    <row r="90" spans="7:110" x14ac:dyDescent="0.25">
      <c r="G90" s="11" t="s">
        <v>93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</row>
    <row r="91" spans="7:110" x14ac:dyDescent="0.25">
      <c r="G91" s="11" t="s">
        <v>94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</row>
    <row r="92" spans="7:110" x14ac:dyDescent="0.25">
      <c r="G92" s="11" t="s">
        <v>95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</row>
    <row r="93" spans="7:110" x14ac:dyDescent="0.25">
      <c r="G93" s="11" t="s">
        <v>96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</row>
    <row r="94" spans="7:110" x14ac:dyDescent="0.25">
      <c r="G94" s="11" t="s">
        <v>97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</row>
    <row r="95" spans="7:110" x14ac:dyDescent="0.25">
      <c r="G95" s="11" t="s">
        <v>98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</row>
    <row r="96" spans="7:110" x14ac:dyDescent="0.25">
      <c r="G96" s="11" t="s">
        <v>99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</row>
    <row r="97" spans="7:110" x14ac:dyDescent="0.25">
      <c r="G97" s="11" t="s">
        <v>100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</row>
    <row r="98" spans="7:110" x14ac:dyDescent="0.25">
      <c r="G98" s="11" t="s">
        <v>101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</row>
    <row r="99" spans="7:110" x14ac:dyDescent="0.25">
      <c r="G99" s="11" t="s">
        <v>102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</row>
    <row r="100" spans="7:110" x14ac:dyDescent="0.25">
      <c r="G100" s="11" t="s">
        <v>103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</row>
    <row r="101" spans="7:110" x14ac:dyDescent="0.25">
      <c r="G101" s="11" t="s">
        <v>104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</row>
    <row r="102" spans="7:110" x14ac:dyDescent="0.25">
      <c r="G102" s="11" t="s">
        <v>105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</row>
    <row r="103" spans="7:110" x14ac:dyDescent="0.25">
      <c r="G103" s="11" t="s">
        <v>106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</row>
    <row r="104" spans="7:110" x14ac:dyDescent="0.25">
      <c r="G104" s="11" t="s">
        <v>107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</row>
    <row r="105" spans="7:110" x14ac:dyDescent="0.25">
      <c r="G105" s="11" t="s">
        <v>108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</row>
    <row r="106" spans="7:110" x14ac:dyDescent="0.25">
      <c r="G106" s="11" t="s">
        <v>109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</row>
    <row r="107" spans="7:110" x14ac:dyDescent="0.25">
      <c r="G107" s="11" t="s">
        <v>110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</row>
    <row r="108" spans="7:110" x14ac:dyDescent="0.25">
      <c r="G108" s="11" t="s">
        <v>111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</row>
    <row r="109" spans="7:110" x14ac:dyDescent="0.25">
      <c r="G109" s="11" t="s">
        <v>112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</row>
    <row r="110" spans="7:110" x14ac:dyDescent="0.25">
      <c r="G110" s="11" t="s">
        <v>113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</row>
    <row r="111" spans="7:110" x14ac:dyDescent="0.25">
      <c r="G111" s="11" t="s">
        <v>114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</row>
    <row r="112" spans="7:110" x14ac:dyDescent="0.25">
      <c r="G112" s="11" t="s">
        <v>115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</row>
    <row r="113" spans="7:110" x14ac:dyDescent="0.25">
      <c r="G113" s="11" t="s">
        <v>116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</row>
    <row r="114" spans="7:110" x14ac:dyDescent="0.25">
      <c r="G114" s="11" t="s">
        <v>117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</row>
    <row r="115" spans="7:110" x14ac:dyDescent="0.25">
      <c r="G115" s="11" t="s">
        <v>118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</row>
    <row r="116" spans="7:110" x14ac:dyDescent="0.25">
      <c r="G116" s="11" t="s">
        <v>119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</row>
    <row r="117" spans="7:110" x14ac:dyDescent="0.25">
      <c r="G117" s="11" t="s">
        <v>120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</row>
    <row r="118" spans="7:110" x14ac:dyDescent="0.25">
      <c r="G118" s="11" t="s">
        <v>121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</row>
    <row r="119" spans="7:110" x14ac:dyDescent="0.25">
      <c r="G119" s="11" t="s">
        <v>122</v>
      </c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</row>
    <row r="120" spans="7:110" x14ac:dyDescent="0.25">
      <c r="G120" s="11" t="s">
        <v>123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</row>
    <row r="121" spans="7:110" x14ac:dyDescent="0.25">
      <c r="G121" s="11" t="s">
        <v>124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</row>
    <row r="122" spans="7:110" x14ac:dyDescent="0.25">
      <c r="G122" s="11" t="s">
        <v>125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</row>
    <row r="123" spans="7:110" x14ac:dyDescent="0.25">
      <c r="G123" s="11" t="s">
        <v>126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</row>
    <row r="124" spans="7:110" x14ac:dyDescent="0.25">
      <c r="G124" s="11" t="s">
        <v>127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</row>
    <row r="125" spans="7:110" x14ac:dyDescent="0.25">
      <c r="G125" s="11" t="s">
        <v>128</v>
      </c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</row>
    <row r="126" spans="7:110" x14ac:dyDescent="0.25">
      <c r="G126" s="11" t="s">
        <v>129</v>
      </c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</row>
    <row r="127" spans="7:110" x14ac:dyDescent="0.25">
      <c r="G127" s="11" t="s">
        <v>130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</row>
    <row r="128" spans="7:110" x14ac:dyDescent="0.25">
      <c r="G128" s="11" t="s">
        <v>131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</row>
    <row r="129" spans="7:110" x14ac:dyDescent="0.25">
      <c r="G129" s="11" t="s">
        <v>132</v>
      </c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</row>
    <row r="130" spans="7:110" x14ac:dyDescent="0.25">
      <c r="G130" s="11" t="s">
        <v>133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</row>
    <row r="131" spans="7:110" x14ac:dyDescent="0.25">
      <c r="G131" s="11" t="s">
        <v>134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</row>
    <row r="132" spans="7:110" x14ac:dyDescent="0.25">
      <c r="G132" s="11" t="s">
        <v>135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</row>
    <row r="133" spans="7:110" x14ac:dyDescent="0.25">
      <c r="G133" s="11" t="s">
        <v>136</v>
      </c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</row>
    <row r="134" spans="7:110" x14ac:dyDescent="0.25">
      <c r="G134" s="11" t="s">
        <v>137</v>
      </c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</row>
    <row r="135" spans="7:110" x14ac:dyDescent="0.25">
      <c r="G135" s="11" t="s">
        <v>138</v>
      </c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</row>
    <row r="136" spans="7:110" x14ac:dyDescent="0.25">
      <c r="G136" s="11" t="s">
        <v>139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</row>
    <row r="137" spans="7:110" x14ac:dyDescent="0.25">
      <c r="G137" s="11" t="s">
        <v>140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</row>
    <row r="138" spans="7:110" x14ac:dyDescent="0.25">
      <c r="G138" s="11" t="s">
        <v>141</v>
      </c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</row>
    <row r="139" spans="7:110" x14ac:dyDescent="0.25">
      <c r="G139" s="11" t="s">
        <v>142</v>
      </c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</row>
    <row r="140" spans="7:110" x14ac:dyDescent="0.25">
      <c r="G140" s="11" t="s">
        <v>143</v>
      </c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</row>
    <row r="141" spans="7:110" x14ac:dyDescent="0.25">
      <c r="G141" s="11" t="s">
        <v>144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</row>
    <row r="142" spans="7:110" x14ac:dyDescent="0.25">
      <c r="G142" s="11" t="s">
        <v>145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</row>
    <row r="143" spans="7:110" x14ac:dyDescent="0.25">
      <c r="G143" s="11" t="s">
        <v>146</v>
      </c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</row>
    <row r="144" spans="7:110" x14ac:dyDescent="0.25">
      <c r="G144" s="11" t="s">
        <v>147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</row>
    <row r="145" spans="7:110" x14ac:dyDescent="0.25">
      <c r="G145" s="11" t="s">
        <v>148</v>
      </c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</row>
    <row r="146" spans="7:110" x14ac:dyDescent="0.25">
      <c r="G146" s="11" t="s">
        <v>149</v>
      </c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</row>
    <row r="147" spans="7:110" x14ac:dyDescent="0.25">
      <c r="G147" s="11" t="s">
        <v>150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</row>
    <row r="148" spans="7:110" x14ac:dyDescent="0.25">
      <c r="G148" s="11" t="s">
        <v>151</v>
      </c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</row>
    <row r="149" spans="7:110" x14ac:dyDescent="0.25">
      <c r="G149" s="11" t="s">
        <v>152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</row>
    <row r="150" spans="7:110" x14ac:dyDescent="0.25">
      <c r="G150" s="11" t="s">
        <v>153</v>
      </c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</row>
    <row r="151" spans="7:110" x14ac:dyDescent="0.25">
      <c r="G151" s="11" t="s">
        <v>154</v>
      </c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</row>
    <row r="152" spans="7:110" x14ac:dyDescent="0.25">
      <c r="G152" s="11" t="s">
        <v>155</v>
      </c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</row>
    <row r="153" spans="7:110" x14ac:dyDescent="0.25">
      <c r="G153" s="11" t="s">
        <v>156</v>
      </c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</row>
    <row r="154" spans="7:110" x14ac:dyDescent="0.25">
      <c r="G154" s="11" t="s">
        <v>157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</row>
    <row r="155" spans="7:110" x14ac:dyDescent="0.25">
      <c r="G155" s="11" t="s">
        <v>158</v>
      </c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</row>
    <row r="156" spans="7:110" x14ac:dyDescent="0.25">
      <c r="G156" s="11" t="s">
        <v>159</v>
      </c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</row>
    <row r="157" spans="7:110" x14ac:dyDescent="0.25">
      <c r="G157" s="11" t="s">
        <v>160</v>
      </c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</row>
    <row r="158" spans="7:110" x14ac:dyDescent="0.25">
      <c r="G158" s="11" t="s">
        <v>161</v>
      </c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</row>
    <row r="159" spans="7:110" x14ac:dyDescent="0.25">
      <c r="G159" s="11" t="s">
        <v>162</v>
      </c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</row>
    <row r="160" spans="7:110" x14ac:dyDescent="0.25">
      <c r="G160" s="11" t="s">
        <v>163</v>
      </c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</row>
    <row r="161" spans="7:110" x14ac:dyDescent="0.25">
      <c r="G161" s="11" t="s">
        <v>164</v>
      </c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</row>
    <row r="162" spans="7:110" x14ac:dyDescent="0.25">
      <c r="G162" s="11" t="s">
        <v>165</v>
      </c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</row>
    <row r="163" spans="7:110" x14ac:dyDescent="0.25">
      <c r="G163" s="11" t="s">
        <v>166</v>
      </c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</row>
    <row r="164" spans="7:110" x14ac:dyDescent="0.25">
      <c r="G164" s="11" t="s">
        <v>167</v>
      </c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</row>
    <row r="165" spans="7:110" x14ac:dyDescent="0.25">
      <c r="G165" s="11" t="s">
        <v>168</v>
      </c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</row>
    <row r="166" spans="7:110" x14ac:dyDescent="0.25">
      <c r="G166" s="11" t="s">
        <v>169</v>
      </c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</row>
    <row r="167" spans="7:110" x14ac:dyDescent="0.25">
      <c r="G167" s="11" t="s">
        <v>170</v>
      </c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</row>
    <row r="168" spans="7:110" x14ac:dyDescent="0.25">
      <c r="G168" s="11" t="s">
        <v>171</v>
      </c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</row>
    <row r="169" spans="7:110" x14ac:dyDescent="0.25">
      <c r="G169" s="11" t="s">
        <v>172</v>
      </c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</row>
    <row r="170" spans="7:110" x14ac:dyDescent="0.25">
      <c r="G170" s="11" t="s">
        <v>173</v>
      </c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</row>
    <row r="171" spans="7:110" x14ac:dyDescent="0.25">
      <c r="G171" s="11" t="s">
        <v>174</v>
      </c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</row>
    <row r="172" spans="7:110" x14ac:dyDescent="0.25">
      <c r="G172" s="11" t="s">
        <v>175</v>
      </c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</row>
    <row r="173" spans="7:110" x14ac:dyDescent="0.25">
      <c r="G173" s="11" t="s">
        <v>176</v>
      </c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</row>
    <row r="174" spans="7:110" x14ac:dyDescent="0.25">
      <c r="G174" s="11" t="s">
        <v>177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</row>
    <row r="175" spans="7:110" x14ac:dyDescent="0.25">
      <c r="G175" s="11" t="s">
        <v>178</v>
      </c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</row>
    <row r="176" spans="7:110" x14ac:dyDescent="0.25">
      <c r="G176" s="11" t="s">
        <v>179</v>
      </c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</row>
    <row r="177" spans="7:110" x14ac:dyDescent="0.25">
      <c r="G177" s="11" t="s">
        <v>180</v>
      </c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</row>
    <row r="178" spans="7:110" x14ac:dyDescent="0.25">
      <c r="G178" s="11" t="s">
        <v>181</v>
      </c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</row>
    <row r="179" spans="7:110" x14ac:dyDescent="0.25">
      <c r="G179" s="11" t="s">
        <v>182</v>
      </c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</row>
    <row r="180" spans="7:110" x14ac:dyDescent="0.25">
      <c r="G180" s="11" t="s">
        <v>183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</row>
    <row r="181" spans="7:110" x14ac:dyDescent="0.25">
      <c r="G181" s="11" t="s">
        <v>184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</row>
    <row r="182" spans="7:110" x14ac:dyDescent="0.25">
      <c r="G182" s="11" t="s">
        <v>185</v>
      </c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</row>
    <row r="183" spans="7:110" x14ac:dyDescent="0.25">
      <c r="G183" s="11" t="s">
        <v>186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</row>
    <row r="184" spans="7:110" x14ac:dyDescent="0.25">
      <c r="G184" s="11" t="s">
        <v>187</v>
      </c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</row>
    <row r="185" spans="7:110" x14ac:dyDescent="0.25">
      <c r="G185" s="11" t="s">
        <v>188</v>
      </c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</row>
    <row r="186" spans="7:110" x14ac:dyDescent="0.25">
      <c r="G186" s="11" t="s">
        <v>189</v>
      </c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</row>
    <row r="187" spans="7:110" x14ac:dyDescent="0.25">
      <c r="G187" s="11" t="s">
        <v>190</v>
      </c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</row>
    <row r="188" spans="7:110" x14ac:dyDescent="0.25">
      <c r="G188" s="11" t="s">
        <v>191</v>
      </c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</row>
    <row r="189" spans="7:110" x14ac:dyDescent="0.25">
      <c r="G189" s="11" t="s">
        <v>192</v>
      </c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</row>
    <row r="190" spans="7:110" x14ac:dyDescent="0.25">
      <c r="G190" s="11" t="s">
        <v>193</v>
      </c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</row>
    <row r="191" spans="7:110" x14ac:dyDescent="0.25">
      <c r="G191" s="11" t="s">
        <v>194</v>
      </c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</row>
    <row r="192" spans="7:110" x14ac:dyDescent="0.25">
      <c r="G192" s="11" t="s">
        <v>195</v>
      </c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</row>
    <row r="193" spans="7:110" x14ac:dyDescent="0.25">
      <c r="G193" s="11" t="s">
        <v>196</v>
      </c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</row>
    <row r="194" spans="7:110" x14ac:dyDescent="0.25">
      <c r="G194" s="11" t="s">
        <v>197</v>
      </c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</row>
    <row r="195" spans="7:110" x14ac:dyDescent="0.25">
      <c r="G195" s="11" t="s">
        <v>198</v>
      </c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</row>
    <row r="196" spans="7:110" x14ac:dyDescent="0.25">
      <c r="G196" s="11" t="s">
        <v>199</v>
      </c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</row>
    <row r="197" spans="7:110" x14ac:dyDescent="0.25">
      <c r="G197" s="11" t="s">
        <v>200</v>
      </c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</row>
    <row r="198" spans="7:110" x14ac:dyDescent="0.25">
      <c r="G198" s="11" t="s">
        <v>201</v>
      </c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</row>
    <row r="199" spans="7:110" x14ac:dyDescent="0.25">
      <c r="G199" s="11" t="s">
        <v>202</v>
      </c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</row>
    <row r="200" spans="7:110" x14ac:dyDescent="0.25">
      <c r="G200" s="11" t="s">
        <v>203</v>
      </c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</row>
    <row r="201" spans="7:110" x14ac:dyDescent="0.25">
      <c r="G201" s="11" t="s">
        <v>204</v>
      </c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</row>
    <row r="202" spans="7:110" x14ac:dyDescent="0.25">
      <c r="G202" s="11" t="s">
        <v>205</v>
      </c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</row>
    <row r="203" spans="7:110" x14ac:dyDescent="0.25">
      <c r="G203" s="11" t="s">
        <v>206</v>
      </c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</row>
    <row r="204" spans="7:110" x14ac:dyDescent="0.25">
      <c r="G204" s="11" t="s">
        <v>207</v>
      </c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</row>
    <row r="205" spans="7:110" x14ac:dyDescent="0.25">
      <c r="G205" s="11" t="s">
        <v>208</v>
      </c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</row>
    <row r="206" spans="7:110" x14ac:dyDescent="0.25">
      <c r="G206" s="11" t="s">
        <v>209</v>
      </c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</row>
    <row r="207" spans="7:110" x14ac:dyDescent="0.25">
      <c r="G207" s="11" t="s">
        <v>210</v>
      </c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</row>
    <row r="208" spans="7:110" x14ac:dyDescent="0.25">
      <c r="G208" s="11" t="s">
        <v>211</v>
      </c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</row>
    <row r="209" spans="7:110" x14ac:dyDescent="0.25">
      <c r="G209" s="11" t="s">
        <v>212</v>
      </c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</row>
    <row r="210" spans="7:110" x14ac:dyDescent="0.25">
      <c r="G210" s="11" t="s">
        <v>213</v>
      </c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</row>
    <row r="211" spans="7:110" x14ac:dyDescent="0.25">
      <c r="G211" s="11" t="s">
        <v>214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</row>
    <row r="212" spans="7:110" x14ac:dyDescent="0.25">
      <c r="G212" s="11" t="s">
        <v>215</v>
      </c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</row>
    <row r="213" spans="7:110" x14ac:dyDescent="0.25">
      <c r="G213" s="11" t="s">
        <v>216</v>
      </c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</row>
    <row r="214" spans="7:110" x14ac:dyDescent="0.25">
      <c r="G214" s="11" t="s">
        <v>217</v>
      </c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</row>
    <row r="215" spans="7:110" x14ac:dyDescent="0.25">
      <c r="G215" s="11" t="s">
        <v>218</v>
      </c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</row>
    <row r="216" spans="7:110" x14ac:dyDescent="0.25">
      <c r="G216" s="11" t="s">
        <v>219</v>
      </c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</row>
    <row r="217" spans="7:110" x14ac:dyDescent="0.25">
      <c r="G217" s="11" t="s">
        <v>220</v>
      </c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</row>
    <row r="218" spans="7:110" x14ac:dyDescent="0.25">
      <c r="G218" s="11" t="s">
        <v>221</v>
      </c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</row>
    <row r="219" spans="7:110" x14ac:dyDescent="0.25">
      <c r="G219" s="11" t="s">
        <v>222</v>
      </c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</row>
    <row r="220" spans="7:110" x14ac:dyDescent="0.25">
      <c r="G220" s="11" t="s">
        <v>223</v>
      </c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</row>
    <row r="221" spans="7:110" x14ac:dyDescent="0.25">
      <c r="G221" s="11" t="s">
        <v>224</v>
      </c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</row>
    <row r="222" spans="7:110" x14ac:dyDescent="0.25">
      <c r="G222" s="11" t="s">
        <v>225</v>
      </c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</row>
    <row r="223" spans="7:110" x14ac:dyDescent="0.25">
      <c r="G223" s="11" t="s">
        <v>226</v>
      </c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</row>
    <row r="224" spans="7:110" x14ac:dyDescent="0.25">
      <c r="G224" s="11" t="s">
        <v>227</v>
      </c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</row>
    <row r="225" spans="7:110" x14ac:dyDescent="0.25">
      <c r="G225" s="11" t="s">
        <v>228</v>
      </c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</row>
    <row r="226" spans="7:110" x14ac:dyDescent="0.25">
      <c r="G226" s="11" t="s">
        <v>229</v>
      </c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</row>
    <row r="227" spans="7:110" x14ac:dyDescent="0.25">
      <c r="G227" s="11" t="s">
        <v>230</v>
      </c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</row>
    <row r="228" spans="7:110" x14ac:dyDescent="0.25">
      <c r="G228" s="11" t="s">
        <v>231</v>
      </c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</row>
    <row r="229" spans="7:110" x14ac:dyDescent="0.25">
      <c r="G229" s="11" t="s">
        <v>232</v>
      </c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</row>
    <row r="230" spans="7:110" x14ac:dyDescent="0.25">
      <c r="G230" s="11" t="s">
        <v>233</v>
      </c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</row>
    <row r="231" spans="7:110" x14ac:dyDescent="0.25">
      <c r="G231" s="11" t="s">
        <v>234</v>
      </c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</row>
    <row r="232" spans="7:110" x14ac:dyDescent="0.25">
      <c r="G232" s="11" t="s">
        <v>235</v>
      </c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</row>
    <row r="233" spans="7:110" x14ac:dyDescent="0.25">
      <c r="G233" s="11" t="s">
        <v>236</v>
      </c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</row>
    <row r="234" spans="7:110" x14ac:dyDescent="0.25">
      <c r="G234" s="11" t="s">
        <v>237</v>
      </c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</row>
    <row r="235" spans="7:110" x14ac:dyDescent="0.25">
      <c r="G235" s="11" t="s">
        <v>238</v>
      </c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</row>
    <row r="236" spans="7:110" x14ac:dyDescent="0.25">
      <c r="G236" s="11" t="s">
        <v>239</v>
      </c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</row>
    <row r="237" spans="7:110" x14ac:dyDescent="0.25">
      <c r="G237" s="11" t="s">
        <v>240</v>
      </c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</row>
    <row r="238" spans="7:110" x14ac:dyDescent="0.25">
      <c r="G238" s="11" t="s">
        <v>241</v>
      </c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</row>
    <row r="239" spans="7:110" x14ac:dyDescent="0.25">
      <c r="G239" s="11" t="s">
        <v>242</v>
      </c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</row>
    <row r="240" spans="7:110" x14ac:dyDescent="0.25">
      <c r="G240" s="11" t="s">
        <v>243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</row>
    <row r="241" spans="7:110" x14ac:dyDescent="0.25">
      <c r="G241" s="11" t="s">
        <v>244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</row>
    <row r="242" spans="7:110" x14ac:dyDescent="0.25">
      <c r="G242" s="11" t="s">
        <v>245</v>
      </c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</row>
    <row r="243" spans="7:110" x14ac:dyDescent="0.25">
      <c r="G243" s="11" t="s">
        <v>246</v>
      </c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</row>
    <row r="244" spans="7:110" x14ac:dyDescent="0.25">
      <c r="G244" s="11" t="s">
        <v>247</v>
      </c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</row>
    <row r="245" spans="7:110" x14ac:dyDescent="0.25">
      <c r="G245" s="11" t="s">
        <v>248</v>
      </c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</row>
    <row r="246" spans="7:110" x14ac:dyDescent="0.25">
      <c r="G246" s="11" t="s">
        <v>249</v>
      </c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</row>
    <row r="247" spans="7:110" x14ac:dyDescent="0.25">
      <c r="G247" s="11" t="s">
        <v>250</v>
      </c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</row>
    <row r="248" spans="7:110" x14ac:dyDescent="0.25">
      <c r="G248" s="11" t="s">
        <v>251</v>
      </c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</row>
    <row r="249" spans="7:110" x14ac:dyDescent="0.25">
      <c r="G249" s="11" t="s">
        <v>252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</row>
    <row r="250" spans="7:110" x14ac:dyDescent="0.25">
      <c r="G250" s="11" t="s">
        <v>253</v>
      </c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</row>
    <row r="251" spans="7:110" x14ac:dyDescent="0.25">
      <c r="G251" s="11" t="s">
        <v>254</v>
      </c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</row>
    <row r="252" spans="7:110" x14ac:dyDescent="0.25">
      <c r="G252" s="11" t="s">
        <v>255</v>
      </c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</row>
    <row r="253" spans="7:110" x14ac:dyDescent="0.25">
      <c r="G253" s="11" t="s">
        <v>256</v>
      </c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</row>
    <row r="254" spans="7:110" x14ac:dyDescent="0.25">
      <c r="G254" s="11" t="s">
        <v>257</v>
      </c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</row>
    <row r="255" spans="7:110" x14ac:dyDescent="0.25">
      <c r="G255" s="11" t="s">
        <v>258</v>
      </c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</row>
    <row r="256" spans="7:110" x14ac:dyDescent="0.25">
      <c r="G256" s="11" t="s">
        <v>259</v>
      </c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</row>
    <row r="257" spans="7:110" x14ac:dyDescent="0.25">
      <c r="G257" s="11" t="s">
        <v>260</v>
      </c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</row>
    <row r="258" spans="7:110" x14ac:dyDescent="0.25">
      <c r="G258" s="11" t="s">
        <v>261</v>
      </c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</row>
    <row r="259" spans="7:110" x14ac:dyDescent="0.25">
      <c r="G259" s="11" t="s">
        <v>262</v>
      </c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</row>
    <row r="260" spans="7:110" x14ac:dyDescent="0.25">
      <c r="G260" s="11" t="s">
        <v>263</v>
      </c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</row>
    <row r="261" spans="7:110" x14ac:dyDescent="0.25">
      <c r="G261" s="11" t="s">
        <v>264</v>
      </c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</row>
    <row r="262" spans="7:110" x14ac:dyDescent="0.25">
      <c r="G262" s="11" t="s">
        <v>265</v>
      </c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</row>
    <row r="263" spans="7:110" x14ac:dyDescent="0.25">
      <c r="G263" s="11" t="s">
        <v>266</v>
      </c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</row>
    <row r="264" spans="7:110" x14ac:dyDescent="0.25">
      <c r="G264" s="11" t="s">
        <v>267</v>
      </c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</row>
    <row r="265" spans="7:110" x14ac:dyDescent="0.25">
      <c r="G265" s="11" t="s">
        <v>268</v>
      </c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</row>
    <row r="266" spans="7:110" x14ac:dyDescent="0.25">
      <c r="G266" s="11" t="s">
        <v>269</v>
      </c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</row>
    <row r="267" spans="7:110" x14ac:dyDescent="0.25">
      <c r="G267" s="11" t="s">
        <v>270</v>
      </c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</row>
    <row r="268" spans="7:110" x14ac:dyDescent="0.25">
      <c r="G268" s="11" t="s">
        <v>271</v>
      </c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</row>
    <row r="269" spans="7:110" x14ac:dyDescent="0.25">
      <c r="G269" s="11" t="s">
        <v>272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</row>
    <row r="270" spans="7:110" x14ac:dyDescent="0.25">
      <c r="G270" s="11" t="s">
        <v>273</v>
      </c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</row>
    <row r="271" spans="7:110" x14ac:dyDescent="0.25">
      <c r="G271" s="11" t="s">
        <v>274</v>
      </c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</row>
    <row r="272" spans="7:110" x14ac:dyDescent="0.25">
      <c r="G272" s="11" t="s">
        <v>275</v>
      </c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</row>
    <row r="273" spans="7:110" x14ac:dyDescent="0.25">
      <c r="G273" s="11" t="s">
        <v>276</v>
      </c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</row>
    <row r="274" spans="7:110" x14ac:dyDescent="0.25">
      <c r="G274" s="11" t="s">
        <v>277</v>
      </c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</row>
    <row r="275" spans="7:110" x14ac:dyDescent="0.25">
      <c r="G275" s="11" t="s">
        <v>278</v>
      </c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</row>
    <row r="276" spans="7:110" x14ac:dyDescent="0.25">
      <c r="G276" s="11" t="s">
        <v>279</v>
      </c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</row>
    <row r="277" spans="7:110" x14ac:dyDescent="0.25">
      <c r="G277" s="11" t="s">
        <v>280</v>
      </c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</row>
    <row r="278" spans="7:110" x14ac:dyDescent="0.25">
      <c r="G278" s="11" t="s">
        <v>281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</row>
    <row r="279" spans="7:110" x14ac:dyDescent="0.25">
      <c r="G279" s="11" t="s">
        <v>282</v>
      </c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</row>
    <row r="280" spans="7:110" x14ac:dyDescent="0.25">
      <c r="G280" s="11" t="s">
        <v>283</v>
      </c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</row>
    <row r="281" spans="7:110" x14ac:dyDescent="0.25">
      <c r="G281" s="11" t="s">
        <v>284</v>
      </c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</row>
    <row r="282" spans="7:110" x14ac:dyDescent="0.25">
      <c r="G282" s="11" t="s">
        <v>285</v>
      </c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</row>
    <row r="283" spans="7:110" x14ac:dyDescent="0.25">
      <c r="G283" s="11" t="s">
        <v>286</v>
      </c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</row>
    <row r="284" spans="7:110" x14ac:dyDescent="0.25">
      <c r="G284" s="11" t="s">
        <v>287</v>
      </c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</row>
    <row r="285" spans="7:110" x14ac:dyDescent="0.25">
      <c r="G285" s="11" t="s">
        <v>288</v>
      </c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</row>
    <row r="286" spans="7:110" x14ac:dyDescent="0.25">
      <c r="G286" s="11" t="s">
        <v>289</v>
      </c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</row>
    <row r="287" spans="7:110" x14ac:dyDescent="0.25">
      <c r="G287" s="11" t="s">
        <v>290</v>
      </c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</row>
    <row r="288" spans="7:110" x14ac:dyDescent="0.25">
      <c r="G288" s="11" t="s">
        <v>291</v>
      </c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</row>
    <row r="289" spans="7:110" x14ac:dyDescent="0.25">
      <c r="G289" s="11" t="s">
        <v>292</v>
      </c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</row>
    <row r="290" spans="7:110" x14ac:dyDescent="0.25">
      <c r="G290" s="11" t="s">
        <v>293</v>
      </c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</row>
    <row r="291" spans="7:110" x14ac:dyDescent="0.25">
      <c r="G291" s="11" t="s">
        <v>294</v>
      </c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</row>
    <row r="292" spans="7:110" x14ac:dyDescent="0.25">
      <c r="G292" s="11" t="s">
        <v>295</v>
      </c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</row>
    <row r="293" spans="7:110" x14ac:dyDescent="0.25">
      <c r="G293" s="11" t="s">
        <v>296</v>
      </c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</row>
    <row r="294" spans="7:110" x14ac:dyDescent="0.25">
      <c r="G294" s="11" t="s">
        <v>297</v>
      </c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</row>
    <row r="295" spans="7:110" x14ac:dyDescent="0.25">
      <c r="G295" s="11" t="s">
        <v>298</v>
      </c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</row>
    <row r="296" spans="7:110" x14ac:dyDescent="0.25">
      <c r="G296" s="11" t="s">
        <v>299</v>
      </c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</row>
    <row r="297" spans="7:110" x14ac:dyDescent="0.25">
      <c r="G297" s="11" t="s">
        <v>300</v>
      </c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</row>
    <row r="298" spans="7:110" x14ac:dyDescent="0.25">
      <c r="G298" s="11" t="s">
        <v>301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</row>
    <row r="299" spans="7:110" x14ac:dyDescent="0.25">
      <c r="G299" s="11" t="s">
        <v>302</v>
      </c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</row>
    <row r="300" spans="7:110" x14ac:dyDescent="0.25">
      <c r="G300" s="11" t="s">
        <v>303</v>
      </c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</row>
    <row r="301" spans="7:110" x14ac:dyDescent="0.25">
      <c r="G301" s="11" t="s">
        <v>304</v>
      </c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</row>
    <row r="302" spans="7:110" x14ac:dyDescent="0.25">
      <c r="G302" s="11" t="s">
        <v>305</v>
      </c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</row>
    <row r="303" spans="7:110" x14ac:dyDescent="0.25">
      <c r="G303" s="11" t="s">
        <v>306</v>
      </c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</row>
    <row r="304" spans="7:110" x14ac:dyDescent="0.25">
      <c r="G304" s="11" t="s">
        <v>307</v>
      </c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</row>
    <row r="305" spans="7:110" x14ac:dyDescent="0.25">
      <c r="G305" s="11" t="s">
        <v>308</v>
      </c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</row>
    <row r="306" spans="7:110" x14ac:dyDescent="0.25">
      <c r="G306" s="11" t="s">
        <v>309</v>
      </c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</row>
    <row r="307" spans="7:110" x14ac:dyDescent="0.25">
      <c r="G307" s="11" t="s">
        <v>310</v>
      </c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</row>
    <row r="308" spans="7:110" x14ac:dyDescent="0.25">
      <c r="G308" s="11" t="s">
        <v>311</v>
      </c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</row>
    <row r="309" spans="7:110" x14ac:dyDescent="0.25">
      <c r="G309" s="11" t="s">
        <v>312</v>
      </c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</row>
    <row r="310" spans="7:110" x14ac:dyDescent="0.25">
      <c r="G310" s="11" t="s">
        <v>313</v>
      </c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</row>
    <row r="311" spans="7:110" x14ac:dyDescent="0.25">
      <c r="G311" s="77" t="s">
        <v>314</v>
      </c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</row>
    <row r="312" spans="7:110" x14ac:dyDescent="0.25"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</row>
    <row r="313" spans="7:110" x14ac:dyDescent="0.25"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</row>
    <row r="314" spans="7:110" x14ac:dyDescent="0.25"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</row>
    <row r="315" spans="7:110" x14ac:dyDescent="0.25"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</row>
  </sheetData>
  <sheetProtection algorithmName="SHA-512" hashValue="EkMUy9IHZYQZw451IU80Ibn6isYMNV06Bf234COcgwZVIU44WRiVxyJjpm38y6iHeCGyyKgFM9XtgUixsBQ1WA==" saltValue="184M7iDS/qEUCK8dpShzcg==" spinCount="100000" sheet="1" objects="1" scenarios="1" selectLockedCells="1"/>
  <mergeCells count="1">
    <mergeCell ref="C3:E3"/>
  </mergeCells>
  <phoneticPr fontId="5" type="noConversion"/>
  <conditionalFormatting sqref="H5:DF5">
    <cfRule type="cellIs" dxfId="210" priority="5" operator="lessThan">
      <formula>0.64</formula>
    </cfRule>
    <cfRule type="cellIs" dxfId="209" priority="6" operator="between">
      <formula>65%</formula>
      <formula>84%</formula>
    </cfRule>
    <cfRule type="cellIs" dxfId="208" priority="7" operator="between">
      <formula>85%</formula>
      <formula>100%</formula>
    </cfRule>
  </conditionalFormatting>
  <conditionalFormatting sqref="H6:DF6">
    <cfRule type="cellIs" dxfId="207" priority="8" operator="greaterThan">
      <formula>0</formula>
    </cfRule>
    <cfRule type="cellIs" dxfId="206" priority="9" operator="lessThan">
      <formula>0</formula>
    </cfRule>
  </conditionalFormatting>
  <dataValidations count="1">
    <dataValidation type="whole" allowBlank="1" showInputMessage="1" showErrorMessage="1" errorTitle="Verifique valor" error="Valor deve estar entre 0g e 3500g" sqref="H12:DF111" xr:uid="{3FBDABDD-429D-4447-8061-B39C900C6EB6}">
      <formula1>0</formula1>
      <formula2>3500</formula2>
    </dataValidation>
  </dataValidations>
  <pageMargins left="1.2992125984251968" right="0.90551181102362199" top="0.78740157480314965" bottom="0.78740157480314965" header="0.31496062992125984" footer="0.31496062992125984"/>
  <pageSetup paperSize="9" fitToWidth="0" orientation="portrait" r:id="rId1"/>
  <ignoredErrors>
    <ignoredError sqref="E6:E7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0EA65F-6C38-4A12-82E1-098F28518158}">
          <x14:formula1>
            <xm:f>'Base de dados'!$C$1:$F$1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A747-3DFE-417A-8DB9-2E5513EFC5FF}">
  <sheetPr>
    <pageSetUpPr fitToPage="1"/>
  </sheetPr>
  <dimension ref="A1:CO370"/>
  <sheetViews>
    <sheetView showGridLines="0" zoomScale="85" zoomScaleNormal="85" workbookViewId="0">
      <selection activeCell="C6" sqref="C6"/>
    </sheetView>
  </sheetViews>
  <sheetFormatPr defaultColWidth="9.140625" defaultRowHeight="15" x14ac:dyDescent="0.25"/>
  <cols>
    <col min="1" max="1" width="2.28515625" style="4" customWidth="1"/>
    <col min="2" max="2" width="14.7109375" style="4" customWidth="1"/>
    <col min="3" max="4" width="17.7109375" style="4" customWidth="1"/>
    <col min="5" max="5" width="16.5703125" style="4" customWidth="1"/>
    <col min="6" max="6" width="5.85546875" style="4" customWidth="1"/>
    <col min="7" max="7" width="11" style="5" customWidth="1"/>
    <col min="8" max="10" width="10.28515625" style="4" customWidth="1"/>
    <col min="11" max="12" width="11.140625" style="4" bestFit="1" customWidth="1"/>
    <col min="13" max="14" width="10.28515625" style="4" customWidth="1"/>
    <col min="15" max="20" width="11.28515625" style="4" customWidth="1"/>
    <col min="21" max="21" width="12.85546875" style="4" customWidth="1"/>
    <col min="22" max="93" width="11.28515625" style="4" customWidth="1"/>
    <col min="94" max="16384" width="9.140625" style="4"/>
  </cols>
  <sheetData>
    <row r="1" spans="1:93" ht="24.75" customHeight="1" x14ac:dyDescent="0.25">
      <c r="G1" s="14"/>
      <c r="H1" s="15" t="s">
        <v>435</v>
      </c>
      <c r="I1" s="15" t="s">
        <v>436</v>
      </c>
      <c r="J1" s="15" t="s">
        <v>437</v>
      </c>
      <c r="K1" s="15" t="s">
        <v>438</v>
      </c>
      <c r="L1" s="15" t="s">
        <v>439</v>
      </c>
      <c r="M1" s="15" t="s">
        <v>440</v>
      </c>
      <c r="N1" s="15" t="s">
        <v>441</v>
      </c>
      <c r="O1" s="15" t="s">
        <v>442</v>
      </c>
      <c r="P1" s="15" t="s">
        <v>443</v>
      </c>
      <c r="Q1" s="15" t="s">
        <v>444</v>
      </c>
      <c r="R1" s="15" t="s">
        <v>445</v>
      </c>
      <c r="S1" s="15" t="s">
        <v>446</v>
      </c>
      <c r="T1" s="15" t="s">
        <v>447</v>
      </c>
      <c r="U1" s="15" t="s">
        <v>448</v>
      </c>
      <c r="V1" s="15" t="s">
        <v>449</v>
      </c>
      <c r="W1" s="15" t="s">
        <v>450</v>
      </c>
      <c r="X1" s="15" t="s">
        <v>451</v>
      </c>
      <c r="Y1" s="15" t="s">
        <v>452</v>
      </c>
      <c r="Z1" s="15" t="s">
        <v>453</v>
      </c>
      <c r="AA1" s="15" t="s">
        <v>454</v>
      </c>
      <c r="AB1" s="15" t="s">
        <v>455</v>
      </c>
      <c r="AC1" s="15" t="s">
        <v>456</v>
      </c>
      <c r="AD1" s="15" t="s">
        <v>457</v>
      </c>
      <c r="AE1" s="15" t="s">
        <v>458</v>
      </c>
      <c r="AF1" s="15" t="s">
        <v>459</v>
      </c>
      <c r="AG1" s="15" t="s">
        <v>460</v>
      </c>
      <c r="AH1" s="15" t="s">
        <v>461</v>
      </c>
      <c r="AI1" s="15" t="s">
        <v>462</v>
      </c>
      <c r="AJ1" s="15" t="s">
        <v>463</v>
      </c>
      <c r="AK1" s="15" t="s">
        <v>464</v>
      </c>
      <c r="AL1" s="15" t="s">
        <v>465</v>
      </c>
      <c r="AM1" s="15" t="s">
        <v>466</v>
      </c>
      <c r="AN1" s="15" t="s">
        <v>467</v>
      </c>
      <c r="AO1" s="15" t="s">
        <v>468</v>
      </c>
      <c r="AP1" s="15" t="s">
        <v>469</v>
      </c>
      <c r="AQ1" s="15" t="s">
        <v>470</v>
      </c>
      <c r="AR1" s="15" t="s">
        <v>471</v>
      </c>
      <c r="AS1" s="15" t="s">
        <v>472</v>
      </c>
      <c r="AT1" s="15" t="s">
        <v>473</v>
      </c>
      <c r="AU1" s="15" t="s">
        <v>474</v>
      </c>
      <c r="AV1" s="15" t="s">
        <v>475</v>
      </c>
      <c r="AW1" s="15" t="s">
        <v>476</v>
      </c>
      <c r="AX1" s="15" t="s">
        <v>477</v>
      </c>
      <c r="AY1" s="15" t="s">
        <v>478</v>
      </c>
      <c r="AZ1" s="15" t="s">
        <v>479</v>
      </c>
      <c r="BA1" s="15" t="s">
        <v>480</v>
      </c>
      <c r="BB1" s="15" t="s">
        <v>481</v>
      </c>
      <c r="BC1" s="15" t="s">
        <v>482</v>
      </c>
      <c r="BD1" s="15" t="s">
        <v>483</v>
      </c>
      <c r="BE1" s="15" t="s">
        <v>484</v>
      </c>
      <c r="BF1" s="15" t="s">
        <v>485</v>
      </c>
      <c r="BG1" s="15" t="s">
        <v>486</v>
      </c>
      <c r="BH1" s="15" t="s">
        <v>487</v>
      </c>
      <c r="BI1" s="15" t="s">
        <v>488</v>
      </c>
      <c r="BJ1" s="15" t="s">
        <v>489</v>
      </c>
      <c r="BK1" s="15" t="s">
        <v>490</v>
      </c>
      <c r="BL1" s="15" t="s">
        <v>491</v>
      </c>
      <c r="BM1" s="15" t="s">
        <v>492</v>
      </c>
      <c r="BN1" s="15" t="s">
        <v>493</v>
      </c>
      <c r="BO1" s="15" t="s">
        <v>494</v>
      </c>
      <c r="BP1" s="15" t="s">
        <v>495</v>
      </c>
      <c r="BQ1" s="15" t="s">
        <v>496</v>
      </c>
      <c r="BR1" s="15" t="s">
        <v>497</v>
      </c>
      <c r="BS1" s="15" t="s">
        <v>498</v>
      </c>
      <c r="BT1" s="15" t="s">
        <v>499</v>
      </c>
      <c r="BU1" s="15" t="s">
        <v>500</v>
      </c>
      <c r="BV1" s="15" t="s">
        <v>501</v>
      </c>
      <c r="BW1" s="15" t="s">
        <v>502</v>
      </c>
      <c r="BX1" s="15" t="s">
        <v>503</v>
      </c>
      <c r="BY1" s="15" t="s">
        <v>504</v>
      </c>
      <c r="BZ1" s="15" t="s">
        <v>505</v>
      </c>
      <c r="CA1" s="15" t="s">
        <v>506</v>
      </c>
      <c r="CB1" s="15" t="s">
        <v>507</v>
      </c>
      <c r="CC1" s="15" t="s">
        <v>508</v>
      </c>
      <c r="CD1" s="15" t="s">
        <v>509</v>
      </c>
      <c r="CE1" s="15" t="s">
        <v>510</v>
      </c>
      <c r="CF1" s="15" t="s">
        <v>511</v>
      </c>
      <c r="CG1" s="15" t="s">
        <v>512</v>
      </c>
      <c r="CH1" s="15" t="s">
        <v>513</v>
      </c>
      <c r="CI1" s="15" t="s">
        <v>514</v>
      </c>
      <c r="CJ1" s="15" t="s">
        <v>515</v>
      </c>
      <c r="CK1" s="15" t="s">
        <v>516</v>
      </c>
      <c r="CL1" s="15" t="s">
        <v>517</v>
      </c>
      <c r="CM1" s="15" t="s">
        <v>518</v>
      </c>
      <c r="CN1" s="15" t="s">
        <v>519</v>
      </c>
      <c r="CO1" s="15" t="s">
        <v>520</v>
      </c>
    </row>
    <row r="2" spans="1:93" ht="24" customHeight="1" x14ac:dyDescent="0.25">
      <c r="G2" s="19" t="s">
        <v>521</v>
      </c>
      <c r="H2" s="18">
        <f>VLOOKUP(H1,'Base de dados'!$B$1:$J$104,MATCH(' OVOS'!$C$7,'Base de dados'!$C$1:$J$1,0)+1,0)</f>
        <v>0</v>
      </c>
      <c r="I2" s="18">
        <f>VLOOKUP(I1,'Base de dados'!$B$1:$J$104,MATCH(' OVOS'!$C$7,'Base de dados'!$C$1:$J$1,0)+1,0)</f>
        <v>0</v>
      </c>
      <c r="J2" s="18">
        <f>VLOOKUP(J1,'Base de dados'!$B$1:$J$104,MATCH(' OVOS'!$C$7,'Base de dados'!$C$1:$J$1,0)+1,0)</f>
        <v>0</v>
      </c>
      <c r="K2" s="18">
        <f>VLOOKUP(K1,'Base de dados'!$B$1:$J$104,MATCH(' OVOS'!$C$7,'Base de dados'!$C$1:$J$1,0)+1,0)</f>
        <v>0</v>
      </c>
      <c r="L2" s="18">
        <f>VLOOKUP(L1,'Base de dados'!$B$1:$J$104,MATCH(' OVOS'!$C$7,'Base de dados'!$C$1:$J$1,0)+1,0)</f>
        <v>40.799999999999997</v>
      </c>
      <c r="M2" s="18">
        <f>VLOOKUP(M1,'Base de dados'!$B$1:$J$104,MATCH(' OVOS'!$C$7,'Base de dados'!$C$1:$J$1,0)+1,0)</f>
        <v>43.7</v>
      </c>
      <c r="N2" s="18">
        <f>VLOOKUP(N1,'Base de dados'!$B$1:$J$104,MATCH(' OVOS'!$C$7,'Base de dados'!$C$1:$J$1,0)+1,0)</f>
        <v>46.3</v>
      </c>
      <c r="O2" s="18">
        <f>VLOOKUP(O1,'Base de dados'!$B$1:$J$104,MATCH(' OVOS'!$C$7,'Base de dados'!$C$1:$J$1,0)+1,0)</f>
        <v>48.7</v>
      </c>
      <c r="P2" s="18">
        <f>VLOOKUP(P1,'Base de dados'!$B$1:$J$104,MATCH(' OVOS'!$C$7,'Base de dados'!$C$1:$J$1,0)+1,0)</f>
        <v>50.8</v>
      </c>
      <c r="Q2" s="18">
        <f>VLOOKUP(Q1,'Base de dados'!$B$1:$J$104,MATCH(' OVOS'!$C$7,'Base de dados'!$C$1:$J$1,0)+1,0)</f>
        <v>52.6</v>
      </c>
      <c r="R2" s="18">
        <f>VLOOKUP(R1,'Base de dados'!$B$1:$J$104,MATCH(' OVOS'!$C$7,'Base de dados'!$C$1:$J$1,0)+1,0)</f>
        <v>54.2</v>
      </c>
      <c r="S2" s="18">
        <f>VLOOKUP(S1,'Base de dados'!$B$1:$J$104,MATCH(' OVOS'!$C$7,'Base de dados'!$C$1:$J$1,0)+1,0)</f>
        <v>55.4</v>
      </c>
      <c r="T2" s="18">
        <f>VLOOKUP(T1,'Base de dados'!$B$1:$J$104,MATCH(' OVOS'!$C$7,'Base de dados'!$C$1:$J$1,0)+1,0)</f>
        <v>56.4</v>
      </c>
      <c r="U2" s="18">
        <f>VLOOKUP(U1,'Base de dados'!$B$1:$J$104,MATCH(' OVOS'!$C$7,'Base de dados'!$C$1:$J$1,0)+1,0)</f>
        <v>57.1</v>
      </c>
      <c r="V2" s="18">
        <f>VLOOKUP(V1,'Base de dados'!$B$1:$J$104,MATCH(' OVOS'!$C$7,'Base de dados'!$C$1:$J$1,0)+1,0)</f>
        <v>57.7</v>
      </c>
      <c r="W2" s="18">
        <f>VLOOKUP(W1,'Base de dados'!$B$1:$J$104,MATCH(' OVOS'!$C$7,'Base de dados'!$C$1:$J$1,0)+1,0)</f>
        <v>58.2</v>
      </c>
      <c r="X2" s="18">
        <f>VLOOKUP(X1,'Base de dados'!$B$1:$J$104,MATCH(' OVOS'!$C$7,'Base de dados'!$C$1:$J$1,0)+1,0)</f>
        <v>58.7</v>
      </c>
      <c r="Y2" s="18">
        <f>VLOOKUP(Y1,'Base de dados'!$B$1:$J$104,MATCH(' OVOS'!$C$7,'Base de dados'!$C$1:$J$1,0)+1,0)</f>
        <v>59.1</v>
      </c>
      <c r="Z2" s="18">
        <f>VLOOKUP(Z1,'Base de dados'!$B$1:$J$104,MATCH(' OVOS'!$C$7,'Base de dados'!$C$1:$J$1,0)+1,0)</f>
        <v>59.5</v>
      </c>
      <c r="AA2" s="18">
        <f>VLOOKUP(AA1,'Base de dados'!$B$1:$J$104,MATCH(' OVOS'!$C$7,'Base de dados'!$C$1:$J$1,0)+1,0)</f>
        <v>59.8</v>
      </c>
      <c r="AB2" s="18">
        <f>VLOOKUP(AB1,'Base de dados'!$B$1:$J$104,MATCH(' OVOS'!$C$7,'Base de dados'!$C$1:$J$1,0)+1,0)</f>
        <v>60</v>
      </c>
      <c r="AC2" s="18">
        <f>VLOOKUP(AC1,'Base de dados'!$B$1:$J$104,MATCH(' OVOS'!$C$7,'Base de dados'!$C$1:$J$1,0)+1,0)</f>
        <v>60.3</v>
      </c>
      <c r="AD2" s="18">
        <f>VLOOKUP(AD1,'Base de dados'!$B$1:$J$104,MATCH(' OVOS'!$C$7,'Base de dados'!$C$1:$J$1,0)+1,0)</f>
        <v>60.4</v>
      </c>
      <c r="AE2" s="18">
        <f>VLOOKUP(AE1,'Base de dados'!$B$1:$J$104,MATCH(' OVOS'!$C$7,'Base de dados'!$C$1:$J$1,0)+1,0)</f>
        <v>60.6</v>
      </c>
      <c r="AF2" s="18">
        <f>VLOOKUP(AF1,'Base de dados'!$B$1:$J$104,MATCH(' OVOS'!$C$7,'Base de dados'!$C$1:$J$1,0)+1,0)</f>
        <v>60.8</v>
      </c>
      <c r="AG2" s="18">
        <f>VLOOKUP(AG1,'Base de dados'!$B$1:$J$104,MATCH(' OVOS'!$C$7,'Base de dados'!$C$1:$J$1,0)+1,0)</f>
        <v>60.9</v>
      </c>
      <c r="AH2" s="18">
        <f>VLOOKUP(AH1,'Base de dados'!$B$1:$J$104,MATCH(' OVOS'!$C$7,'Base de dados'!$C$1:$J$1,0)+1,0)</f>
        <v>61.1</v>
      </c>
      <c r="AI2" s="18">
        <f>VLOOKUP(AI1,'Base de dados'!$B$1:$J$104,MATCH(' OVOS'!$C$7,'Base de dados'!$C$1:$J$1,0)+1,0)</f>
        <v>61.2</v>
      </c>
      <c r="AJ2" s="18">
        <f>VLOOKUP(AJ1,'Base de dados'!$B$1:$J$104,MATCH(' OVOS'!$C$7,'Base de dados'!$C$1:$J$1,0)+1,0)</f>
        <v>61.4</v>
      </c>
      <c r="AK2" s="23">
        <f>VLOOKUP(AK1,'Base de dados'!$B$1:$J$104,MATCH(' OVOS'!$C$7,'Base de dados'!$C$1:$J$1,0)+1,0)</f>
        <v>61.5</v>
      </c>
      <c r="AL2" s="23">
        <f>VLOOKUP(AL1,'Base de dados'!$B$1:$J$104,MATCH(' OVOS'!$C$7,'Base de dados'!$C$1:$J$1,0)+1,0)</f>
        <v>61.6</v>
      </c>
      <c r="AM2" s="23">
        <f>VLOOKUP(AM1,'Base de dados'!$B$1:$J$104,MATCH(' OVOS'!$C$7,'Base de dados'!$C$1:$J$1,0)+1,0)</f>
        <v>61.8</v>
      </c>
      <c r="AN2" s="23">
        <f>VLOOKUP(AN1,'Base de dados'!$B$1:$J$104,MATCH(' OVOS'!$C$7,'Base de dados'!$C$1:$J$1,0)+1,0)</f>
        <v>61.9</v>
      </c>
      <c r="AO2" s="23">
        <f>VLOOKUP(AO1,'Base de dados'!$B$1:$J$104,MATCH(' OVOS'!$C$7,'Base de dados'!$C$1:$J$1,0)+1,0)</f>
        <v>62</v>
      </c>
      <c r="AP2" s="23">
        <f>VLOOKUP(AP1,'Base de dados'!$B$1:$J$104,MATCH(' OVOS'!$C$7,'Base de dados'!$C$1:$J$1,0)+1,0)</f>
        <v>62.1</v>
      </c>
      <c r="AQ2" s="23">
        <f>VLOOKUP(AQ1,'Base de dados'!$B$1:$J$104,MATCH(' OVOS'!$C$7,'Base de dados'!$C$1:$J$1,0)+1,0)</f>
        <v>62.3</v>
      </c>
      <c r="AR2" s="23">
        <f>VLOOKUP(AR1,'Base de dados'!$B$1:$J$104,MATCH(' OVOS'!$C$7,'Base de dados'!$C$1:$J$1,0)+1,0)</f>
        <v>62.4</v>
      </c>
      <c r="AS2" s="23">
        <f>VLOOKUP(AS1,'Base de dados'!$B$1:$J$104,MATCH(' OVOS'!$C$7,'Base de dados'!$C$1:$J$1,0)+1,0)</f>
        <v>62.5</v>
      </c>
      <c r="AT2" s="23">
        <f>VLOOKUP(AT1,'Base de dados'!$B$1:$J$104,MATCH(' OVOS'!$C$7,'Base de dados'!$C$1:$J$1,0)+1,0)</f>
        <v>62.6</v>
      </c>
      <c r="AU2" s="23">
        <f>VLOOKUP(AU1,'Base de dados'!$B$1:$J$104,MATCH(' OVOS'!$C$7,'Base de dados'!$C$1:$J$1,0)+1,0)</f>
        <v>62.7</v>
      </c>
      <c r="AV2" s="23">
        <f>VLOOKUP(AV1,'Base de dados'!$B$1:$J$104,MATCH(' OVOS'!$C$7,'Base de dados'!$C$1:$J$1,0)+1,0)</f>
        <v>62.8</v>
      </c>
      <c r="AW2" s="23">
        <f>VLOOKUP(AW1,'Base de dados'!$B$1:$J$104,MATCH(' OVOS'!$C$7,'Base de dados'!$C$1:$J$1,0)+1,0)</f>
        <v>62.9</v>
      </c>
      <c r="AX2" s="23">
        <f>VLOOKUP(AX1,'Base de dados'!$B$1:$J$104,MATCH(' OVOS'!$C$7,'Base de dados'!$C$1:$J$1,0)+1,0)</f>
        <v>63</v>
      </c>
      <c r="AY2" s="23">
        <f>VLOOKUP(AY1,'Base de dados'!$B$1:$J$104,MATCH(' OVOS'!$C$7,'Base de dados'!$C$1:$J$1,0)+1,0)</f>
        <v>63.1</v>
      </c>
      <c r="AZ2" s="23">
        <f>VLOOKUP(AZ1,'Base de dados'!$B$1:$J$104,MATCH(' OVOS'!$C$7,'Base de dados'!$C$1:$J$1,0)+1,0)</f>
        <v>63.1</v>
      </c>
      <c r="BA2" s="23">
        <f>VLOOKUP(BA1,'Base de dados'!$B$1:$J$104,MATCH(' OVOS'!$C$7,'Base de dados'!$C$1:$J$1,0)+1,0)</f>
        <v>63.2</v>
      </c>
      <c r="BB2" s="23">
        <f>VLOOKUP(BB1,'Base de dados'!$B$1:$J$104,MATCH(' OVOS'!$C$7,'Base de dados'!$C$1:$J$1,0)+1,0)</f>
        <v>63.3</v>
      </c>
      <c r="BC2" s="23">
        <f>VLOOKUP(BC1,'Base de dados'!$B$1:$J$104,MATCH(' OVOS'!$C$7,'Base de dados'!$C$1:$J$1,0)+1,0)</f>
        <v>63.4</v>
      </c>
      <c r="BD2" s="23">
        <f>VLOOKUP(BD1,'Base de dados'!$B$1:$J$104,MATCH(' OVOS'!$C$7,'Base de dados'!$C$1:$J$1,0)+1,0)</f>
        <v>63.4</v>
      </c>
      <c r="BE2" s="23">
        <f>VLOOKUP(BE1,'Base de dados'!$B$1:$J$104,MATCH(' OVOS'!$C$7,'Base de dados'!$C$1:$J$1,0)+1,0)</f>
        <v>63.5</v>
      </c>
      <c r="BF2" s="23">
        <f>VLOOKUP(BF1,'Base de dados'!$B$1:$J$104,MATCH(' OVOS'!$C$7,'Base de dados'!$C$1:$J$1,0)+1,0)</f>
        <v>63.6</v>
      </c>
      <c r="BG2" s="23">
        <f>VLOOKUP(BG1,'Base de dados'!$B$1:$J$104,MATCH(' OVOS'!$C$7,'Base de dados'!$C$1:$J$1,0)+1,0)</f>
        <v>63.6</v>
      </c>
      <c r="BH2" s="23">
        <f>VLOOKUP(BH1,'Base de dados'!$B$1:$J$104,MATCH(' OVOS'!$C$7,'Base de dados'!$C$1:$J$1,0)+1,0)</f>
        <v>63.7</v>
      </c>
      <c r="BI2" s="23">
        <f>VLOOKUP(BI1,'Base de dados'!$B$1:$J$104,MATCH(' OVOS'!$C$7,'Base de dados'!$C$1:$J$1,0)+1,0)</f>
        <v>63.7</v>
      </c>
      <c r="BJ2" s="23">
        <f>VLOOKUP(BJ1,'Base de dados'!$B$1:$J$104,MATCH(' OVOS'!$C$7,'Base de dados'!$C$1:$J$1,0)+1,0)</f>
        <v>63.8</v>
      </c>
      <c r="BK2" s="23">
        <f>VLOOKUP(BK1,'Base de dados'!$B$1:$J$104,MATCH(' OVOS'!$C$7,'Base de dados'!$C$1:$J$1,0)+1,0)</f>
        <v>63.8</v>
      </c>
      <c r="BL2" s="23">
        <f>VLOOKUP(BL1,'Base de dados'!$B$1:$J$104,MATCH(' OVOS'!$C$7,'Base de dados'!$C$1:$J$1,0)+1,0)</f>
        <v>63.9</v>
      </c>
      <c r="BM2" s="23">
        <f>VLOOKUP(BM1,'Base de dados'!$B$1:$J$104,MATCH(' OVOS'!$C$7,'Base de dados'!$C$1:$J$1,0)+1,0)</f>
        <v>63.9</v>
      </c>
      <c r="BN2" s="23">
        <f>VLOOKUP(BN1,'Base de dados'!$B$1:$J$104,MATCH(' OVOS'!$C$7,'Base de dados'!$C$1:$J$1,0)+1,0)</f>
        <v>63.9</v>
      </c>
      <c r="BO2" s="23">
        <f>VLOOKUP(BO1,'Base de dados'!$B$1:$J$104,MATCH(' OVOS'!$C$7,'Base de dados'!$C$1:$J$1,0)+1,0)</f>
        <v>64</v>
      </c>
      <c r="BP2" s="23">
        <f>VLOOKUP(BP1,'Base de dados'!$B$1:$J$104,MATCH(' OVOS'!$C$7,'Base de dados'!$C$1:$J$1,0)+1,0)</f>
        <v>64</v>
      </c>
      <c r="BQ2" s="23">
        <f>VLOOKUP(BQ1,'Base de dados'!$B$1:$J$104,MATCH(' OVOS'!$C$7,'Base de dados'!$C$1:$J$1,0)+1,0)</f>
        <v>64</v>
      </c>
      <c r="BR2" s="23">
        <f>VLOOKUP(BR1,'Base de dados'!$B$1:$J$104,MATCH(' OVOS'!$C$7,'Base de dados'!$C$1:$J$1,0)+1,0)</f>
        <v>64.099999999999994</v>
      </c>
      <c r="BS2" s="23">
        <f>VLOOKUP(BS1,'Base de dados'!$B$1:$J$104,MATCH(' OVOS'!$C$7,'Base de dados'!$C$1:$J$1,0)+1,0)</f>
        <v>64.099999999999994</v>
      </c>
      <c r="BT2" s="23">
        <f>VLOOKUP(BT1,'Base de dados'!$B$1:$J$104,MATCH(' OVOS'!$C$7,'Base de dados'!$C$1:$J$1,0)+1,0)</f>
        <v>64.099999999999994</v>
      </c>
      <c r="BU2" s="23">
        <f>VLOOKUP(BU1,'Base de dados'!$B$1:$J$104,MATCH(' OVOS'!$C$7,'Base de dados'!$C$1:$J$1,0)+1,0)</f>
        <v>64.099999999999994</v>
      </c>
      <c r="BV2" s="23">
        <f>VLOOKUP(BV1,'Base de dados'!$B$1:$J$104,MATCH(' OVOS'!$C$7,'Base de dados'!$C$1:$J$1,0)+1,0)</f>
        <v>64.099999999999994</v>
      </c>
      <c r="BW2" s="23">
        <f>VLOOKUP(BW1,'Base de dados'!$B$1:$J$104,MATCH(' OVOS'!$C$7,'Base de dados'!$C$1:$J$1,0)+1,0)</f>
        <v>64.2</v>
      </c>
      <c r="BX2" s="23">
        <f>VLOOKUP(BX1,'Base de dados'!$B$1:$J$104,MATCH(' OVOS'!$C$7,'Base de dados'!$C$1:$J$1,0)+1,0)</f>
        <v>64.2</v>
      </c>
      <c r="BY2" s="23">
        <f>VLOOKUP(BY1,'Base de dados'!$B$1:$J$104,MATCH(' OVOS'!$C$7,'Base de dados'!$C$1:$J$1,0)+1,0)</f>
        <v>64.2</v>
      </c>
      <c r="BZ2" s="23">
        <f>VLOOKUP(BZ1,'Base de dados'!$B$1:$J$104,MATCH(' OVOS'!$C$7,'Base de dados'!$C$1:$J$1,0)+1,0)</f>
        <v>64.2</v>
      </c>
      <c r="CA2" s="23">
        <f>VLOOKUP(CA1,'Base de dados'!$B$1:$J$104,MATCH(' OVOS'!$C$7,'Base de dados'!$C$1:$J$1,0)+1,0)</f>
        <v>64.2</v>
      </c>
      <c r="CB2" s="23">
        <f>VLOOKUP(CB1,'Base de dados'!$B$1:$J$104,MATCH(' OVOS'!$C$7,'Base de dados'!$C$1:$J$1,0)+1,0)</f>
        <v>64.2</v>
      </c>
      <c r="CC2" s="23">
        <f>VLOOKUP(CC1,'Base de dados'!$B$1:$J$104,MATCH(' OVOS'!$C$7,'Base de dados'!$C$1:$J$1,0)+1,0)</f>
        <v>64.2</v>
      </c>
      <c r="CD2" s="23">
        <f>VLOOKUP(CD1,'Base de dados'!$B$1:$J$104,MATCH(' OVOS'!$C$7,'Base de dados'!$C$1:$J$1,0)+1,0)</f>
        <v>64.2</v>
      </c>
      <c r="CE2" s="23">
        <f>VLOOKUP(CE1,'Base de dados'!$B$1:$J$104,MATCH(' OVOS'!$C$7,'Base de dados'!$C$1:$J$1,0)+1,0)</f>
        <v>64.2</v>
      </c>
      <c r="CF2" s="23">
        <f>VLOOKUP(CF1,'Base de dados'!$B$1:$J$104,MATCH(' OVOS'!$C$7,'Base de dados'!$C$1:$J$1,0)+1,0)</f>
        <v>64.2</v>
      </c>
      <c r="CG2" s="23">
        <f>VLOOKUP(CG1,'Base de dados'!$B$1:$J$104,MATCH(' OVOS'!$C$7,'Base de dados'!$C$1:$J$1,0)+1,0)</f>
        <v>64.2</v>
      </c>
      <c r="CH2" s="23">
        <f>VLOOKUP(CH1,'Base de dados'!$B$1:$J$104,MATCH(' OVOS'!$C$7,'Base de dados'!$C$1:$J$1,0)+1,0)</f>
        <v>64.2</v>
      </c>
      <c r="CI2" s="23">
        <f>VLOOKUP(CI1,'Base de dados'!$B$1:$J$104,MATCH(' OVOS'!$C$7,'Base de dados'!$C$1:$J$1,0)+1,0)</f>
        <v>64.2</v>
      </c>
      <c r="CJ2" s="23">
        <f>VLOOKUP(CJ1,'Base de dados'!$B$1:$J$104,MATCH(' OVOS'!$C$7,'Base de dados'!$C$1:$J$1,0)+1,0)</f>
        <v>64.2</v>
      </c>
      <c r="CK2" s="23">
        <f>VLOOKUP(CK1,'Base de dados'!$B$1:$J$104,MATCH(' OVOS'!$C$7,'Base de dados'!$C$1:$J$1,0)+1,0)</f>
        <v>64.2</v>
      </c>
      <c r="CL2" s="23">
        <f>VLOOKUP(CL1,'Base de dados'!$B$1:$J$104,MATCH(' OVOS'!$C$7,'Base de dados'!$C$1:$J$1,0)+1,0)</f>
        <v>64.2</v>
      </c>
      <c r="CM2" s="23">
        <f>VLOOKUP(CM1,'Base de dados'!$B$1:$J$104,MATCH(' OVOS'!$C$7,'Base de dados'!$C$1:$J$1,0)+1,0)</f>
        <v>64.2</v>
      </c>
      <c r="CN2" s="23">
        <f>VLOOKUP(CN1,'Base de dados'!$B$1:$J$104,MATCH(' OVOS'!$C$7,'Base de dados'!$C$1:$J$1,0)+1,0)</f>
        <v>64.2</v>
      </c>
      <c r="CO2" s="23">
        <f>VLOOKUP(CO1,'Base de dados'!$B$1:$J$104,MATCH(' OVOS'!$C$7,'Base de dados'!$C$1:$J$1,0)+1,0)</f>
        <v>64.2</v>
      </c>
    </row>
    <row r="3" spans="1:93" ht="31.5" customHeight="1" x14ac:dyDescent="0.25">
      <c r="B3" s="7" t="s">
        <v>0</v>
      </c>
      <c r="C3" s="98" t="s">
        <v>877</v>
      </c>
      <c r="D3" s="99"/>
      <c r="E3" s="100"/>
      <c r="G3" s="19" t="s">
        <v>7</v>
      </c>
      <c r="H3" s="21" t="str">
        <f>IFERROR(AVERAGE(Tabela22[Sem 15]),"")</f>
        <v/>
      </c>
      <c r="I3" s="21" t="str">
        <f>IFERROR(AVERAGE(Tabela22[Sem 16]),"")</f>
        <v/>
      </c>
      <c r="J3" s="21" t="str">
        <f>IFERROR(AVERAGE(Tabela22[Sem 17]),"")</f>
        <v/>
      </c>
      <c r="K3" s="21" t="str">
        <f>IFERROR(AVERAGE(Tabela22[Sem 18]),"")</f>
        <v/>
      </c>
      <c r="L3" s="21" t="str">
        <f>IFERROR(AVERAGE(Tabela22[Sem 19]),"")</f>
        <v/>
      </c>
      <c r="M3" s="21" t="str">
        <f>IFERROR(AVERAGE(Tabela22[Sem 20]),"")</f>
        <v/>
      </c>
      <c r="N3" s="21" t="str">
        <f>IFERROR(AVERAGE(Tabela22[Sem 21]),"")</f>
        <v/>
      </c>
      <c r="O3" s="21" t="str">
        <f>IFERROR(AVERAGE(Tabela22[Sem 22]),"")</f>
        <v/>
      </c>
      <c r="P3" s="21" t="str">
        <f>IFERROR(AVERAGE(Tabela22[Sem 23]),"")</f>
        <v/>
      </c>
      <c r="Q3" s="21" t="str">
        <f>IFERROR(AVERAGE(Tabela22[Sem 24]),"")</f>
        <v/>
      </c>
      <c r="R3" s="21" t="str">
        <f>IFERROR(AVERAGE(Tabela22[Sem 25]),"")</f>
        <v/>
      </c>
      <c r="S3" s="21" t="str">
        <f>IFERROR(AVERAGE(Tabela22[Sem 26]),"")</f>
        <v/>
      </c>
      <c r="T3" s="21" t="str">
        <f>IFERROR(AVERAGE(Tabela22[Sem 27]),"")</f>
        <v/>
      </c>
      <c r="U3" s="21" t="str">
        <f>IFERROR(AVERAGE(Tabela22[Sem 28]),"")</f>
        <v/>
      </c>
      <c r="V3" s="21" t="str">
        <f>IFERROR(AVERAGE(Tabela22[Sem 29]),"")</f>
        <v/>
      </c>
      <c r="W3" s="21" t="str">
        <f>IFERROR(AVERAGE(Tabela22[Sem 30]),"")</f>
        <v/>
      </c>
      <c r="X3" s="21" t="str">
        <f>IFERROR(AVERAGE(Tabela22[Sem 31]),"")</f>
        <v/>
      </c>
      <c r="Y3" s="21" t="str">
        <f>IFERROR(AVERAGE(Tabela22[Sem 32]),"")</f>
        <v/>
      </c>
      <c r="Z3" s="21" t="str">
        <f>IFERROR(AVERAGE(Tabela22[Sem 33]),"")</f>
        <v/>
      </c>
      <c r="AA3" s="21" t="str">
        <f>IFERROR(AVERAGE(Tabela22[Sem 34]),"")</f>
        <v/>
      </c>
      <c r="AB3" s="21" t="str">
        <f>IFERROR(AVERAGE(Tabela22[Sem 35]),"")</f>
        <v/>
      </c>
      <c r="AC3" s="21" t="str">
        <f>IFERROR(AVERAGE(Tabela22[Sem 36]),"")</f>
        <v/>
      </c>
      <c r="AD3" s="21" t="str">
        <f>IFERROR(AVERAGE(Tabela22[Sem 37]),"")</f>
        <v/>
      </c>
      <c r="AE3" s="21" t="str">
        <f>IFERROR(AVERAGE(Tabela22[Sem 38]),"")</f>
        <v/>
      </c>
      <c r="AF3" s="21" t="str">
        <f>IFERROR(AVERAGE(Tabela22[Sem 39]),"")</f>
        <v/>
      </c>
      <c r="AG3" s="21" t="str">
        <f>IFERROR(AVERAGE(Tabela22[Sem 40]),"")</f>
        <v/>
      </c>
      <c r="AH3" s="21" t="str">
        <f>IFERROR(AVERAGE(Tabela22[Sem 41]),"")</f>
        <v/>
      </c>
      <c r="AI3" s="21" t="str">
        <f>IFERROR(AVERAGE(Tabela22[Sem 42]),"")</f>
        <v/>
      </c>
      <c r="AJ3" s="21" t="str">
        <f>IFERROR(AVERAGE(Tabela22[Sem 43]),"")</f>
        <v/>
      </c>
      <c r="AK3" s="24" t="str">
        <f>IFERROR(AVERAGE(Tabela22[Sem 44]),"")</f>
        <v/>
      </c>
      <c r="AL3" s="24" t="str">
        <f>IFERROR(AVERAGE(Tabela22[Sem 45]),"")</f>
        <v/>
      </c>
      <c r="AM3" s="24" t="str">
        <f>IFERROR(AVERAGE(Tabela22[Sem 46]),"")</f>
        <v/>
      </c>
      <c r="AN3" s="24" t="str">
        <f>IFERROR(AVERAGE(Tabela22[Sem 47]),"")</f>
        <v/>
      </c>
      <c r="AO3" s="24" t="str">
        <f>IFERROR(AVERAGE(Tabela22[Sem 48]),"")</f>
        <v/>
      </c>
      <c r="AP3" s="24" t="str">
        <f>IFERROR(AVERAGE(Tabela22[Sem 49]),"")</f>
        <v/>
      </c>
      <c r="AQ3" s="24" t="str">
        <f>IFERROR(AVERAGE(Tabela22[Sem 50]),"")</f>
        <v/>
      </c>
      <c r="AR3" s="24" t="str">
        <f>IFERROR(AVERAGE(Tabela22[Sem 51]),"")</f>
        <v/>
      </c>
      <c r="AS3" s="24" t="str">
        <f>IFERROR(AVERAGE(Tabela22[Sem 52]),"")</f>
        <v/>
      </c>
      <c r="AT3" s="24" t="str">
        <f>IFERROR(AVERAGE(Tabela22[Sem 53]),"")</f>
        <v/>
      </c>
      <c r="AU3" s="24" t="str">
        <f>IFERROR(AVERAGE(Tabela22[Sem 54]),"")</f>
        <v/>
      </c>
      <c r="AV3" s="24" t="str">
        <f>IFERROR(AVERAGE(Tabela22[Sem 55]),"")</f>
        <v/>
      </c>
      <c r="AW3" s="24" t="str">
        <f>IFERROR(AVERAGE(Tabela22[Sem 56]),"")</f>
        <v/>
      </c>
      <c r="AX3" s="24" t="str">
        <f>IFERROR(AVERAGE(Tabela22[Sem 57]),"")</f>
        <v/>
      </c>
      <c r="AY3" s="24" t="str">
        <f>IFERROR(AVERAGE(Tabela22[Sem 58]),"")</f>
        <v/>
      </c>
      <c r="AZ3" s="24" t="str">
        <f>IFERROR(AVERAGE(Tabela22[Sem 59]),"")</f>
        <v/>
      </c>
      <c r="BA3" s="24" t="str">
        <f>IFERROR(AVERAGE(Tabela22[Sem 60]),"")</f>
        <v/>
      </c>
      <c r="BB3" s="24" t="str">
        <f>IFERROR(AVERAGE(Tabela22[Sem 61]),"")</f>
        <v/>
      </c>
      <c r="BC3" s="24" t="str">
        <f>IFERROR(AVERAGE(Tabela22[Sem 62]),"")</f>
        <v/>
      </c>
      <c r="BD3" s="24" t="str">
        <f>IFERROR(AVERAGE(Tabela22[Sem 63]),"")</f>
        <v/>
      </c>
      <c r="BE3" s="24" t="str">
        <f>IFERROR(AVERAGE(Tabela22[Sem 64]),"")</f>
        <v/>
      </c>
      <c r="BF3" s="24" t="str">
        <f>IFERROR(AVERAGE(Tabela22[Sem 65]),"")</f>
        <v/>
      </c>
      <c r="BG3" s="24" t="str">
        <f>IFERROR(AVERAGE(Tabela22[Sem 66]),"")</f>
        <v/>
      </c>
      <c r="BH3" s="24" t="str">
        <f>IFERROR(AVERAGE(Tabela22[Sem 67]),"")</f>
        <v/>
      </c>
      <c r="BI3" s="24" t="str">
        <f>IFERROR(AVERAGE(Tabela22[Sem 68]),"")</f>
        <v/>
      </c>
      <c r="BJ3" s="24" t="str">
        <f>IFERROR(AVERAGE(Tabela22[Sem 69]),"")</f>
        <v/>
      </c>
      <c r="BK3" s="24" t="str">
        <f>IFERROR(AVERAGE(Tabela22[Sem 70]),"")</f>
        <v/>
      </c>
      <c r="BL3" s="24" t="str">
        <f>IFERROR(AVERAGE(Tabela22[Sem 71]),"")</f>
        <v/>
      </c>
      <c r="BM3" s="24" t="str">
        <f>IFERROR(AVERAGE(Tabela22[Sem 72]),"")</f>
        <v/>
      </c>
      <c r="BN3" s="24" t="str">
        <f>IFERROR(AVERAGE(Tabela22[Sem 73]),"")</f>
        <v/>
      </c>
      <c r="BO3" s="24" t="str">
        <f>IFERROR(AVERAGE(Tabela22[Sem 74]),"")</f>
        <v/>
      </c>
      <c r="BP3" s="24" t="str">
        <f>IFERROR(AVERAGE(Tabela22[Sem 75]),"")</f>
        <v/>
      </c>
      <c r="BQ3" s="24" t="str">
        <f>IFERROR(AVERAGE(Tabela22[Sem 76]),"")</f>
        <v/>
      </c>
      <c r="BR3" s="24" t="str">
        <f>IFERROR(AVERAGE(Tabela22[Sem 77]),"")</f>
        <v/>
      </c>
      <c r="BS3" s="24" t="str">
        <f>IFERROR(AVERAGE(Tabela22[Sem 78]),"")</f>
        <v/>
      </c>
      <c r="BT3" s="24" t="str">
        <f>IFERROR(AVERAGE(Tabela22[Sem 79]),"")</f>
        <v/>
      </c>
      <c r="BU3" s="24" t="str">
        <f>IFERROR(AVERAGE(Tabela22[Sem 80]),"")</f>
        <v/>
      </c>
      <c r="BV3" s="24" t="str">
        <f>IFERROR(AVERAGE(Tabela22[Sem 81]),"")</f>
        <v/>
      </c>
      <c r="BW3" s="24" t="str">
        <f>IFERROR(AVERAGE(Tabela22[Sem 82]),"")</f>
        <v/>
      </c>
      <c r="BX3" s="24" t="str">
        <f>IFERROR(AVERAGE(Tabela22[Sem 83]),"")</f>
        <v/>
      </c>
      <c r="BY3" s="24" t="str">
        <f>IFERROR(AVERAGE(Tabela22[Sem 84]),"")</f>
        <v/>
      </c>
      <c r="BZ3" s="24" t="str">
        <f>IFERROR(AVERAGE(Tabela22[Sem 85]),"")</f>
        <v/>
      </c>
      <c r="CA3" s="24" t="str">
        <f>IFERROR(AVERAGE(Tabela22[Sem 86]),"")</f>
        <v/>
      </c>
      <c r="CB3" s="24" t="str">
        <f>IFERROR(AVERAGE(Tabela22[Sem 87]),"")</f>
        <v/>
      </c>
      <c r="CC3" s="24" t="str">
        <f>IFERROR(AVERAGE(Tabela22[Sem 88]),"")</f>
        <v/>
      </c>
      <c r="CD3" s="24" t="str">
        <f>IFERROR(AVERAGE(Tabela22[Sem 89]),"")</f>
        <v/>
      </c>
      <c r="CE3" s="24" t="str">
        <f>IFERROR(AVERAGE(Tabela22[Sem 90]),"")</f>
        <v/>
      </c>
      <c r="CF3" s="24" t="str">
        <f>IFERROR(AVERAGE(Tabela22[Sem 91]),"")</f>
        <v/>
      </c>
      <c r="CG3" s="24" t="str">
        <f>IFERROR(AVERAGE(Tabela22[Sem 92]),"")</f>
        <v/>
      </c>
      <c r="CH3" s="24" t="str">
        <f>IFERROR(AVERAGE(Tabela22[Sem 93]),"")</f>
        <v/>
      </c>
      <c r="CI3" s="24" t="str">
        <f>IFERROR(AVERAGE(Tabela22[Sem 94]),"")</f>
        <v/>
      </c>
      <c r="CJ3" s="24" t="str">
        <f>IFERROR(AVERAGE(Tabela22[Sem 95]),"")</f>
        <v/>
      </c>
      <c r="CK3" s="24" t="str">
        <f>IFERROR(AVERAGE(Tabela22[Sem 96]),"")</f>
        <v/>
      </c>
      <c r="CL3" s="24" t="str">
        <f>IFERROR(AVERAGE(Tabela22[Sem 97]),"")</f>
        <v/>
      </c>
      <c r="CM3" s="24" t="str">
        <f>IFERROR(AVERAGE(Tabela22[Sem 98]),"")</f>
        <v/>
      </c>
      <c r="CN3" s="24" t="str">
        <f>IFERROR(AVERAGE(Tabela22[Sem 99]),"")</f>
        <v/>
      </c>
      <c r="CO3" s="24" t="str">
        <f>IFERROR(AVERAGE(Tabela22[Sem 100]),"")</f>
        <v/>
      </c>
    </row>
    <row r="4" spans="1:93" s="72" customFormat="1" ht="0.75" customHeight="1" x14ac:dyDescent="0.25">
      <c r="A4" s="68"/>
      <c r="B4" s="69"/>
      <c r="C4" s="78"/>
      <c r="D4" s="79"/>
      <c r="E4" s="80"/>
      <c r="F4" s="68"/>
      <c r="G4" s="70" t="s">
        <v>525</v>
      </c>
      <c r="H4" s="71">
        <v>0.85</v>
      </c>
      <c r="I4" s="71">
        <v>0.85</v>
      </c>
      <c r="J4" s="71">
        <v>0.85</v>
      </c>
      <c r="K4" s="71">
        <v>0.85</v>
      </c>
      <c r="L4" s="71">
        <v>0.85</v>
      </c>
      <c r="M4" s="71">
        <v>0.85</v>
      </c>
      <c r="N4" s="71">
        <v>0.85</v>
      </c>
      <c r="O4" s="71">
        <v>0.85</v>
      </c>
      <c r="P4" s="71">
        <v>0.85</v>
      </c>
      <c r="Q4" s="71">
        <v>0.85</v>
      </c>
      <c r="R4" s="71">
        <v>0.85</v>
      </c>
      <c r="S4" s="71">
        <v>0.85</v>
      </c>
      <c r="T4" s="71">
        <v>0.85</v>
      </c>
      <c r="U4" s="71">
        <v>0.85</v>
      </c>
      <c r="V4" s="71">
        <v>0.85</v>
      </c>
      <c r="W4" s="71">
        <v>0.85</v>
      </c>
      <c r="X4" s="71">
        <v>0.85</v>
      </c>
      <c r="Y4" s="71">
        <v>0.85</v>
      </c>
      <c r="Z4" s="71">
        <v>0.85</v>
      </c>
      <c r="AA4" s="71">
        <v>0.85</v>
      </c>
      <c r="AB4" s="71">
        <v>0.85</v>
      </c>
      <c r="AC4" s="71">
        <v>0.85</v>
      </c>
      <c r="AD4" s="71">
        <v>0.85</v>
      </c>
      <c r="AE4" s="71">
        <v>0.85</v>
      </c>
      <c r="AF4" s="71">
        <v>0.85</v>
      </c>
      <c r="AG4" s="71">
        <v>0.85</v>
      </c>
      <c r="AH4" s="71">
        <v>0.85</v>
      </c>
      <c r="AI4" s="71">
        <v>0.85</v>
      </c>
      <c r="AJ4" s="71">
        <v>0.85</v>
      </c>
      <c r="AK4" s="81">
        <v>0.85</v>
      </c>
      <c r="AL4" s="81">
        <v>0.85</v>
      </c>
      <c r="AM4" s="81">
        <v>0.85</v>
      </c>
      <c r="AN4" s="81">
        <v>0.85</v>
      </c>
      <c r="AO4" s="81">
        <v>0.85</v>
      </c>
      <c r="AP4" s="81">
        <v>0.85</v>
      </c>
      <c r="AQ4" s="81">
        <v>0.85</v>
      </c>
      <c r="AR4" s="81">
        <v>0.85</v>
      </c>
      <c r="AS4" s="81">
        <v>0.85</v>
      </c>
      <c r="AT4" s="81">
        <v>0.85</v>
      </c>
      <c r="AU4" s="81">
        <v>0.85</v>
      </c>
      <c r="AV4" s="81">
        <v>0.85</v>
      </c>
      <c r="AW4" s="81">
        <v>0.85</v>
      </c>
      <c r="AX4" s="81">
        <v>0.85</v>
      </c>
      <c r="AY4" s="81">
        <v>0.85</v>
      </c>
      <c r="AZ4" s="81">
        <v>0.85</v>
      </c>
      <c r="BA4" s="81">
        <v>0.85</v>
      </c>
      <c r="BB4" s="81">
        <v>0.85</v>
      </c>
      <c r="BC4" s="81">
        <v>0.85</v>
      </c>
      <c r="BD4" s="81">
        <v>0.85</v>
      </c>
      <c r="BE4" s="81">
        <v>0.85</v>
      </c>
      <c r="BF4" s="81">
        <v>0.85</v>
      </c>
      <c r="BG4" s="81">
        <v>0.85</v>
      </c>
      <c r="BH4" s="81">
        <v>0.85</v>
      </c>
      <c r="BI4" s="81">
        <v>0.85</v>
      </c>
      <c r="BJ4" s="81">
        <v>0.85</v>
      </c>
      <c r="BK4" s="81">
        <v>0.85</v>
      </c>
      <c r="BL4" s="81">
        <v>0.85</v>
      </c>
      <c r="BM4" s="81">
        <v>0.85</v>
      </c>
      <c r="BN4" s="81">
        <v>0.85</v>
      </c>
      <c r="BO4" s="81">
        <v>0.85</v>
      </c>
      <c r="BP4" s="81">
        <v>0.85</v>
      </c>
      <c r="BQ4" s="81">
        <v>0.85</v>
      </c>
      <c r="BR4" s="81">
        <v>0.85</v>
      </c>
      <c r="BS4" s="81">
        <v>0.85</v>
      </c>
      <c r="BT4" s="81">
        <v>0.85</v>
      </c>
      <c r="BU4" s="81">
        <v>0.85</v>
      </c>
      <c r="BV4" s="81">
        <v>0.85</v>
      </c>
      <c r="BW4" s="81">
        <v>0.85</v>
      </c>
      <c r="BX4" s="81">
        <v>0.85</v>
      </c>
      <c r="BY4" s="81">
        <v>0.85</v>
      </c>
      <c r="BZ4" s="81">
        <v>0.85</v>
      </c>
      <c r="CA4" s="81">
        <v>0.85</v>
      </c>
      <c r="CB4" s="81">
        <v>0.85</v>
      </c>
      <c r="CC4" s="81">
        <v>0.85</v>
      </c>
      <c r="CD4" s="81">
        <v>0.85</v>
      </c>
      <c r="CE4" s="81">
        <v>0.85</v>
      </c>
      <c r="CF4" s="81">
        <v>0.85</v>
      </c>
      <c r="CG4" s="81">
        <v>0.85</v>
      </c>
      <c r="CH4" s="81">
        <v>0.85</v>
      </c>
      <c r="CI4" s="81">
        <v>0.85</v>
      </c>
      <c r="CJ4" s="81">
        <v>0.85</v>
      </c>
      <c r="CK4" s="81">
        <v>0.85</v>
      </c>
      <c r="CL4" s="81">
        <v>0.85</v>
      </c>
      <c r="CM4" s="81">
        <v>0.85</v>
      </c>
      <c r="CN4" s="81">
        <v>0.85</v>
      </c>
      <c r="CO4" s="81">
        <v>0.85</v>
      </c>
    </row>
    <row r="5" spans="1:93" ht="28.5" customHeight="1" x14ac:dyDescent="0.25">
      <c r="B5" s="22" t="s">
        <v>4</v>
      </c>
      <c r="C5" s="10">
        <v>44454</v>
      </c>
      <c r="D5" s="8" t="s">
        <v>315</v>
      </c>
      <c r="E5" s="9">
        <v>50000</v>
      </c>
      <c r="G5" s="19" t="s">
        <v>871</v>
      </c>
      <c r="H5" s="2" t="str" cm="1">
        <f t="array" ref="H5">_xlfn.IFS(H3="","",H3&lt;='Base de dados'!$K$2,'Base de dados'!$K$1,' OVOS'!H3&lt;='Base de dados'!$L$3,'Base de dados'!$L$1,' OVOS'!H3&lt;='Base de dados'!$M$3,'Base de dados'!$M$1,' OVOS'!H3&gt;='Base de dados'!$N$2,'Base de dados'!$N$1)</f>
        <v/>
      </c>
      <c r="I5" s="2" t="str" cm="1">
        <f t="array" ref="I5">_xlfn.IFS(I3="","",I3&lt;='Base de dados'!$K$2,'Base de dados'!$K$1,' OVOS'!I3&lt;='Base de dados'!$L$3,'Base de dados'!$L$1,' OVOS'!I3&lt;='Base de dados'!$M$3,'Base de dados'!$M$1,' OVOS'!I3&gt;='Base de dados'!$N$2,'Base de dados'!$N$1)</f>
        <v/>
      </c>
      <c r="J5" s="2" t="str" cm="1">
        <f t="array" ref="J5">_xlfn.IFS(J3="","",J3&lt;='Base de dados'!$K$2,'Base de dados'!$K$1,' OVOS'!J3&lt;='Base de dados'!$L$3,'Base de dados'!$L$1,' OVOS'!J3&lt;='Base de dados'!$M$3,'Base de dados'!$M$1,' OVOS'!J3&gt;='Base de dados'!$N$2,'Base de dados'!$N$1)</f>
        <v/>
      </c>
      <c r="K5" s="2" t="str" cm="1">
        <f t="array" ref="K5">_xlfn.IFS(K3="","",K3&lt;='Base de dados'!$K$2,'Base de dados'!$K$1,' OVOS'!K3&lt;='Base de dados'!$L$3,'Base de dados'!$L$1,' OVOS'!K3&lt;='Base de dados'!$M$3,'Base de dados'!$M$1,' OVOS'!K3&gt;='Base de dados'!$N$2,'Base de dados'!$N$1)</f>
        <v/>
      </c>
      <c r="L5" s="2" t="str" cm="1">
        <f t="array" ref="L5">_xlfn.IFS(L3="","",L3&lt;='Base de dados'!$K$2,'Base de dados'!$K$1,' OVOS'!L3&lt;='Base de dados'!$L$3,'Base de dados'!$L$1,' OVOS'!L3&lt;='Base de dados'!$M$3,'Base de dados'!$M$1,' OVOS'!L3&gt;='Base de dados'!$N$2,'Base de dados'!$N$1)</f>
        <v/>
      </c>
      <c r="M5" s="2" t="str" cm="1">
        <f t="array" ref="M5">_xlfn.IFS(M3="","",M3&lt;='Base de dados'!$K$2,'Base de dados'!$K$1,' OVOS'!M3&lt;='Base de dados'!$L$3,'Base de dados'!$L$1,' OVOS'!M3&lt;='Base de dados'!$M$3,'Base de dados'!$M$1,' OVOS'!M3&gt;='Base de dados'!$N$2,'Base de dados'!$N$1)</f>
        <v/>
      </c>
      <c r="N5" s="2" t="str" cm="1">
        <f t="array" ref="N5">_xlfn.IFS(N3="","",N3&lt;='Base de dados'!$K$2,'Base de dados'!$K$1,' OVOS'!N3&lt;='Base de dados'!$L$3,'Base de dados'!$L$1,' OVOS'!N3&lt;='Base de dados'!$M$3,'Base de dados'!$M$1,' OVOS'!N3&gt;='Base de dados'!$N$2,'Base de dados'!$N$1)</f>
        <v/>
      </c>
      <c r="O5" s="2" t="str" cm="1">
        <f t="array" ref="O5">_xlfn.IFS(O3="","",O3&lt;='Base de dados'!$K$2,'Base de dados'!$K$1,' OVOS'!O3&lt;='Base de dados'!$L$3,'Base de dados'!$L$1,' OVOS'!O3&lt;='Base de dados'!$M$3,'Base de dados'!$M$1,' OVOS'!O3&gt;='Base de dados'!$N$2,'Base de dados'!$N$1)</f>
        <v/>
      </c>
      <c r="P5" s="2" t="str" cm="1">
        <f t="array" ref="P5">_xlfn.IFS(P3="","",P3&lt;='Base de dados'!$K$2,'Base de dados'!$K$1,' OVOS'!P3&lt;='Base de dados'!$L$3,'Base de dados'!$L$1,' OVOS'!P3&lt;='Base de dados'!$M$3,'Base de dados'!$M$1,' OVOS'!P3&gt;='Base de dados'!$N$2,'Base de dados'!$N$1)</f>
        <v/>
      </c>
      <c r="Q5" s="2" t="str" cm="1">
        <f t="array" ref="Q5">_xlfn.IFS(Q3="","",Q3&lt;='Base de dados'!$K$2,'Base de dados'!$K$1,' OVOS'!Q3&lt;='Base de dados'!$L$3,'Base de dados'!$L$1,' OVOS'!Q3&lt;='Base de dados'!$M$3,'Base de dados'!$M$1,' OVOS'!Q3&gt;='Base de dados'!$N$2,'Base de dados'!$N$1)</f>
        <v/>
      </c>
      <c r="R5" s="2" t="str" cm="1">
        <f t="array" ref="R5">_xlfn.IFS(R3="","",R3&lt;='Base de dados'!$K$2,'Base de dados'!$K$1,' OVOS'!R3&lt;='Base de dados'!$L$3,'Base de dados'!$L$1,' OVOS'!R3&lt;='Base de dados'!$M$3,'Base de dados'!$M$1,' OVOS'!R3&gt;='Base de dados'!$N$2,'Base de dados'!$N$1)</f>
        <v/>
      </c>
      <c r="S5" s="2" t="str" cm="1">
        <f t="array" ref="S5">_xlfn.IFS(S3="","",S3&lt;='Base de dados'!$K$2,'Base de dados'!$K$1,' OVOS'!S3&lt;='Base de dados'!$L$3,'Base de dados'!$L$1,' OVOS'!S3&lt;='Base de dados'!$M$3,'Base de dados'!$M$1,' OVOS'!S3&gt;='Base de dados'!$N$2,'Base de dados'!$N$1)</f>
        <v/>
      </c>
      <c r="T5" s="2" t="str" cm="1">
        <f t="array" ref="T5">_xlfn.IFS(T3="","",T3&lt;='Base de dados'!$K$2,'Base de dados'!$K$1,' OVOS'!T3&lt;='Base de dados'!$L$3,'Base de dados'!$L$1,' OVOS'!T3&lt;='Base de dados'!$M$3,'Base de dados'!$M$1,' OVOS'!T3&gt;='Base de dados'!$N$2,'Base de dados'!$N$1)</f>
        <v/>
      </c>
      <c r="U5" s="2" t="str" cm="1">
        <f t="array" ref="U5">_xlfn.IFS(U3="","",U3&lt;='Base de dados'!$K$2,'Base de dados'!$K$1,' OVOS'!U3&lt;='Base de dados'!$L$3,'Base de dados'!$L$1,' OVOS'!U3&lt;='Base de dados'!$M$3,'Base de dados'!$M$1,' OVOS'!U3&gt;='Base de dados'!$N$2,'Base de dados'!$N$1)</f>
        <v/>
      </c>
      <c r="V5" s="2" t="str" cm="1">
        <f t="array" ref="V5">_xlfn.IFS(V3="","",V3&lt;='Base de dados'!$K$2,'Base de dados'!$K$1,' OVOS'!V3&lt;='Base de dados'!$L$3,'Base de dados'!$L$1,' OVOS'!V3&lt;='Base de dados'!$M$3,'Base de dados'!$M$1,' OVOS'!V3&gt;='Base de dados'!$N$2,'Base de dados'!$N$1)</f>
        <v/>
      </c>
      <c r="W5" s="2" t="str" cm="1">
        <f t="array" ref="W5">_xlfn.IFS(W3="","",W3&lt;='Base de dados'!$K$2,'Base de dados'!$K$1,' OVOS'!W3&lt;='Base de dados'!$L$3,'Base de dados'!$L$1,' OVOS'!W3&lt;='Base de dados'!$M$3,'Base de dados'!$M$1,' OVOS'!W3&gt;='Base de dados'!$N$2,'Base de dados'!$N$1)</f>
        <v/>
      </c>
      <c r="X5" s="2" t="str" cm="1">
        <f t="array" ref="X5">_xlfn.IFS(X3="","",X3&lt;='Base de dados'!$K$2,'Base de dados'!$K$1,' OVOS'!X3&lt;='Base de dados'!$L$3,'Base de dados'!$L$1,' OVOS'!X3&lt;='Base de dados'!$M$3,'Base de dados'!$M$1,' OVOS'!X3&gt;='Base de dados'!$N$2,'Base de dados'!$N$1)</f>
        <v/>
      </c>
      <c r="Y5" s="2" t="str" cm="1">
        <f t="array" ref="Y5">_xlfn.IFS(Y3="","",Y3&lt;='Base de dados'!$K$2,'Base de dados'!$K$1,' OVOS'!Y3&lt;='Base de dados'!$L$3,'Base de dados'!$L$1,' OVOS'!Y3&lt;='Base de dados'!$M$3,'Base de dados'!$M$1,' OVOS'!Y3&gt;='Base de dados'!$N$2,'Base de dados'!$N$1)</f>
        <v/>
      </c>
      <c r="Z5" s="2" t="str" cm="1">
        <f t="array" ref="Z5">_xlfn.IFS(Z3="","",Z3&lt;='Base de dados'!$K$2,'Base de dados'!$K$1,' OVOS'!Z3&lt;='Base de dados'!$L$3,'Base de dados'!$L$1,' OVOS'!Z3&lt;='Base de dados'!$M$3,'Base de dados'!$M$1,' OVOS'!Z3&gt;='Base de dados'!$N$2,'Base de dados'!$N$1)</f>
        <v/>
      </c>
      <c r="AA5" s="2" t="str" cm="1">
        <f t="array" ref="AA5">_xlfn.IFS(AA3="","",AA3&lt;='Base de dados'!$K$2,'Base de dados'!$K$1,' OVOS'!AA3&lt;='Base de dados'!$L$3,'Base de dados'!$L$1,' OVOS'!AA3&lt;='Base de dados'!$M$3,'Base de dados'!$M$1,' OVOS'!AA3&gt;='Base de dados'!$N$2,'Base de dados'!$N$1)</f>
        <v/>
      </c>
      <c r="AB5" s="2" t="str" cm="1">
        <f t="array" ref="AB5">_xlfn.IFS(AB3="","",AB3&lt;='Base de dados'!$K$2,'Base de dados'!$K$1,' OVOS'!AB3&lt;='Base de dados'!$L$3,'Base de dados'!$L$1,' OVOS'!AB3&lt;='Base de dados'!$M$3,'Base de dados'!$M$1,' OVOS'!AB3&gt;='Base de dados'!$N$2,'Base de dados'!$N$1)</f>
        <v/>
      </c>
      <c r="AC5" s="2" t="str" cm="1">
        <f t="array" ref="AC5">_xlfn.IFS(AC3="","",AC3&lt;='Base de dados'!$K$2,'Base de dados'!$K$1,' OVOS'!AC3&lt;='Base de dados'!$L$3,'Base de dados'!$L$1,' OVOS'!AC3&lt;='Base de dados'!$M$3,'Base de dados'!$M$1,' OVOS'!AC3&gt;='Base de dados'!$N$2,'Base de dados'!$N$1)</f>
        <v/>
      </c>
      <c r="AD5" s="2" t="str" cm="1">
        <f t="array" ref="AD5">_xlfn.IFS(AD3="","",AD3&lt;='Base de dados'!$K$2,'Base de dados'!$K$1,' OVOS'!AD3&lt;='Base de dados'!$L$3,'Base de dados'!$L$1,' OVOS'!AD3&lt;='Base de dados'!$M$3,'Base de dados'!$M$1,' OVOS'!AD3&gt;='Base de dados'!$N$2,'Base de dados'!$N$1)</f>
        <v/>
      </c>
      <c r="AE5" s="2" t="str" cm="1">
        <f t="array" ref="AE5">_xlfn.IFS(AE3="","",AE3&lt;='Base de dados'!$K$2,'Base de dados'!$K$1,' OVOS'!AE3&lt;='Base de dados'!$L$3,'Base de dados'!$L$1,' OVOS'!AE3&lt;='Base de dados'!$M$3,'Base de dados'!$M$1,' OVOS'!AE3&gt;='Base de dados'!$N$2,'Base de dados'!$N$1)</f>
        <v/>
      </c>
      <c r="AF5" s="2" t="str" cm="1">
        <f t="array" ref="AF5">_xlfn.IFS(AF3="","",AF3&lt;='Base de dados'!$K$2,'Base de dados'!$K$1,' OVOS'!AF3&lt;='Base de dados'!$L$3,'Base de dados'!$L$1,' OVOS'!AF3&lt;='Base de dados'!$M$3,'Base de dados'!$M$1,' OVOS'!AF3&gt;='Base de dados'!$N$2,'Base de dados'!$N$1)</f>
        <v/>
      </c>
      <c r="AG5" s="2" t="str" cm="1">
        <f t="array" ref="AG5">_xlfn.IFS(AG3="","",AG3&lt;='Base de dados'!$K$2,'Base de dados'!$K$1,' OVOS'!AG3&lt;='Base de dados'!$L$3,'Base de dados'!$L$1,' OVOS'!AG3&lt;='Base de dados'!$M$3,'Base de dados'!$M$1,' OVOS'!AG3&gt;='Base de dados'!$N$2,'Base de dados'!$N$1)</f>
        <v/>
      </c>
      <c r="AH5" s="2" t="str" cm="1">
        <f t="array" ref="AH5">_xlfn.IFS(AH3="","",AH3&lt;='Base de dados'!$K$2,'Base de dados'!$K$1,' OVOS'!AH3&lt;='Base de dados'!$L$3,'Base de dados'!$L$1,' OVOS'!AH3&lt;='Base de dados'!$M$3,'Base de dados'!$M$1,' OVOS'!AH3&gt;='Base de dados'!$N$2,'Base de dados'!$N$1)</f>
        <v/>
      </c>
      <c r="AI5" s="2" t="str" cm="1">
        <f t="array" ref="AI5">_xlfn.IFS(AI3="","",AI3&lt;='Base de dados'!$K$2,'Base de dados'!$K$1,' OVOS'!AI3&lt;='Base de dados'!$L$3,'Base de dados'!$L$1,' OVOS'!AI3&lt;='Base de dados'!$M$3,'Base de dados'!$M$1,' OVOS'!AI3&gt;='Base de dados'!$N$2,'Base de dados'!$N$1)</f>
        <v/>
      </c>
      <c r="AJ5" s="2" t="str" cm="1">
        <f t="array" ref="AJ5">_xlfn.IFS(AJ3="","",AJ3&lt;='Base de dados'!$K$2,'Base de dados'!$K$1,' OVOS'!AJ3&lt;='Base de dados'!$L$3,'Base de dados'!$L$1,' OVOS'!AJ3&lt;='Base de dados'!$M$3,'Base de dados'!$M$1,' OVOS'!AJ3&gt;='Base de dados'!$N$2,'Base de dados'!$N$1)</f>
        <v/>
      </c>
      <c r="AK5" s="25" t="str" cm="1">
        <f t="array" ref="AK5">_xlfn.IFS(AK3="","",AK3&lt;='Base de dados'!$K$2,'Base de dados'!$K$1,' OVOS'!AK3&lt;='Base de dados'!$L$3,'Base de dados'!$L$1,' OVOS'!AK3&lt;='Base de dados'!$M$3,'Base de dados'!$M$1,' OVOS'!AK3&gt;='Base de dados'!$N$2,'Base de dados'!$N$1)</f>
        <v/>
      </c>
      <c r="AL5" s="25" t="str" cm="1">
        <f t="array" ref="AL5">_xlfn.IFS(AL3="","",AL3&lt;='Base de dados'!$K$2,'Base de dados'!$K$1,' OVOS'!AL3&lt;='Base de dados'!$L$3,'Base de dados'!$L$1,' OVOS'!AL3&lt;='Base de dados'!$M$3,'Base de dados'!$M$1,' OVOS'!AL3&gt;='Base de dados'!$N$2,'Base de dados'!$N$1)</f>
        <v/>
      </c>
      <c r="AM5" s="25" t="str" cm="1">
        <f t="array" ref="AM5">_xlfn.IFS(AM3="","",AM3&lt;='Base de dados'!$K$2,'Base de dados'!$K$1,' OVOS'!AM3&lt;='Base de dados'!$L$3,'Base de dados'!$L$1,' OVOS'!AM3&lt;='Base de dados'!$M$3,'Base de dados'!$M$1,' OVOS'!AM3&gt;='Base de dados'!$N$2,'Base de dados'!$N$1)</f>
        <v/>
      </c>
      <c r="AN5" s="25" t="str" cm="1">
        <f t="array" ref="AN5">_xlfn.IFS(AN3="","",AN3&lt;='Base de dados'!$K$2,'Base de dados'!$K$1,' OVOS'!AN3&lt;='Base de dados'!$L$3,'Base de dados'!$L$1,' OVOS'!AN3&lt;='Base de dados'!$M$3,'Base de dados'!$M$1,' OVOS'!AN3&gt;='Base de dados'!$N$2,'Base de dados'!$N$1)</f>
        <v/>
      </c>
      <c r="AO5" s="25" t="str" cm="1">
        <f t="array" ref="AO5">_xlfn.IFS(AO3="","",AO3&lt;='Base de dados'!$K$2,'Base de dados'!$K$1,' OVOS'!AO3&lt;='Base de dados'!$L$3,'Base de dados'!$L$1,' OVOS'!AO3&lt;='Base de dados'!$M$3,'Base de dados'!$M$1,' OVOS'!AO3&gt;='Base de dados'!$N$2,'Base de dados'!$N$1)</f>
        <v/>
      </c>
      <c r="AP5" s="25" t="str" cm="1">
        <f t="array" ref="AP5">_xlfn.IFS(AP3="","",AP3&lt;='Base de dados'!$K$2,'Base de dados'!$K$1,' OVOS'!AP3&lt;='Base de dados'!$L$3,'Base de dados'!$L$1,' OVOS'!AP3&lt;='Base de dados'!$M$3,'Base de dados'!$M$1,' OVOS'!AP3&gt;='Base de dados'!$N$2,'Base de dados'!$N$1)</f>
        <v/>
      </c>
      <c r="AQ5" s="25" t="str" cm="1">
        <f t="array" ref="AQ5">_xlfn.IFS(AQ3="","",AQ3&lt;='Base de dados'!$K$2,'Base de dados'!$K$1,' OVOS'!AQ3&lt;='Base de dados'!$L$3,'Base de dados'!$L$1,' OVOS'!AQ3&lt;='Base de dados'!$M$3,'Base de dados'!$M$1,' OVOS'!AQ3&gt;='Base de dados'!$N$2,'Base de dados'!$N$1)</f>
        <v/>
      </c>
      <c r="AR5" s="25" t="str" cm="1">
        <f t="array" ref="AR5">_xlfn.IFS(AR3="","",AR3&lt;='Base de dados'!$K$2,'Base de dados'!$K$1,' OVOS'!AR3&lt;='Base de dados'!$L$3,'Base de dados'!$L$1,' OVOS'!AR3&lt;='Base de dados'!$M$3,'Base de dados'!$M$1,' OVOS'!AR3&gt;='Base de dados'!$N$2,'Base de dados'!$N$1)</f>
        <v/>
      </c>
      <c r="AS5" s="25" t="str" cm="1">
        <f t="array" ref="AS5">_xlfn.IFS(AS3="","",AS3&lt;='Base de dados'!$K$2,'Base de dados'!$K$1,' OVOS'!AS3&lt;='Base de dados'!$L$3,'Base de dados'!$L$1,' OVOS'!AS3&lt;='Base de dados'!$M$3,'Base de dados'!$M$1,' OVOS'!AS3&gt;='Base de dados'!$N$2,'Base de dados'!$N$1)</f>
        <v/>
      </c>
      <c r="AT5" s="25" t="str" cm="1">
        <f t="array" ref="AT5">_xlfn.IFS(AT3="","",AT3&lt;='Base de dados'!$K$2,'Base de dados'!$K$1,' OVOS'!AT3&lt;='Base de dados'!$L$3,'Base de dados'!$L$1,' OVOS'!AT3&lt;='Base de dados'!$M$3,'Base de dados'!$M$1,' OVOS'!AT3&gt;='Base de dados'!$N$2,'Base de dados'!$N$1)</f>
        <v/>
      </c>
      <c r="AU5" s="25" t="str" cm="1">
        <f t="array" ref="AU5">_xlfn.IFS(AU3="","",AU3&lt;='Base de dados'!$K$2,'Base de dados'!$K$1,' OVOS'!AU3&lt;='Base de dados'!$L$3,'Base de dados'!$L$1,' OVOS'!AU3&lt;='Base de dados'!$M$3,'Base de dados'!$M$1,' OVOS'!AU3&gt;='Base de dados'!$N$2,'Base de dados'!$N$1)</f>
        <v/>
      </c>
      <c r="AV5" s="25" t="str" cm="1">
        <f t="array" ref="AV5">_xlfn.IFS(AV3="","",AV3&lt;='Base de dados'!$K$2,'Base de dados'!$K$1,' OVOS'!AV3&lt;='Base de dados'!$L$3,'Base de dados'!$L$1,' OVOS'!AV3&lt;='Base de dados'!$M$3,'Base de dados'!$M$1,' OVOS'!AV3&gt;='Base de dados'!$N$2,'Base de dados'!$N$1)</f>
        <v/>
      </c>
      <c r="AW5" s="25" t="str" cm="1">
        <f t="array" ref="AW5">_xlfn.IFS(AW3="","",AW3&lt;='Base de dados'!$K$2,'Base de dados'!$K$1,' OVOS'!AW3&lt;='Base de dados'!$L$3,'Base de dados'!$L$1,' OVOS'!AW3&lt;='Base de dados'!$M$3,'Base de dados'!$M$1,' OVOS'!AW3&gt;='Base de dados'!$N$2,'Base de dados'!$N$1)</f>
        <v/>
      </c>
      <c r="AX5" s="25" t="str" cm="1">
        <f t="array" ref="AX5">_xlfn.IFS(AX3="","",AX3&lt;='Base de dados'!$K$2,'Base de dados'!$K$1,' OVOS'!AX3&lt;='Base de dados'!$L$3,'Base de dados'!$L$1,' OVOS'!AX3&lt;='Base de dados'!$M$3,'Base de dados'!$M$1,' OVOS'!AX3&gt;='Base de dados'!$N$2,'Base de dados'!$N$1)</f>
        <v/>
      </c>
      <c r="AY5" s="25" t="str" cm="1">
        <f t="array" ref="AY5">_xlfn.IFS(AY3="","",AY3&lt;='Base de dados'!$K$2,'Base de dados'!$K$1,' OVOS'!AY3&lt;='Base de dados'!$L$3,'Base de dados'!$L$1,' OVOS'!AY3&lt;='Base de dados'!$M$3,'Base de dados'!$M$1,' OVOS'!AY3&gt;='Base de dados'!$N$2,'Base de dados'!$N$1)</f>
        <v/>
      </c>
      <c r="AZ5" s="25" t="str" cm="1">
        <f t="array" ref="AZ5">_xlfn.IFS(AZ3="","",AZ3&lt;='Base de dados'!$K$2,'Base de dados'!$K$1,' OVOS'!AZ3&lt;='Base de dados'!$L$3,'Base de dados'!$L$1,' OVOS'!AZ3&lt;='Base de dados'!$M$3,'Base de dados'!$M$1,' OVOS'!AZ3&gt;='Base de dados'!$N$2,'Base de dados'!$N$1)</f>
        <v/>
      </c>
      <c r="BA5" s="25" t="str" cm="1">
        <f t="array" ref="BA5">_xlfn.IFS(BA3="","",BA3&lt;='Base de dados'!$K$2,'Base de dados'!$K$1,' OVOS'!BA3&lt;='Base de dados'!$L$3,'Base de dados'!$L$1,' OVOS'!BA3&lt;='Base de dados'!$M$3,'Base de dados'!$M$1,' OVOS'!BA3&gt;='Base de dados'!$N$2,'Base de dados'!$N$1)</f>
        <v/>
      </c>
      <c r="BB5" s="25" t="str" cm="1">
        <f t="array" ref="BB5">_xlfn.IFS(BB3="","",BB3&lt;='Base de dados'!$K$2,'Base de dados'!$K$1,' OVOS'!BB3&lt;='Base de dados'!$L$3,'Base de dados'!$L$1,' OVOS'!BB3&lt;='Base de dados'!$M$3,'Base de dados'!$M$1,' OVOS'!BB3&gt;='Base de dados'!$N$2,'Base de dados'!$N$1)</f>
        <v/>
      </c>
      <c r="BC5" s="25" t="str" cm="1">
        <f t="array" ref="BC5">_xlfn.IFS(BC3="","",BC3&lt;='Base de dados'!$K$2,'Base de dados'!$K$1,' OVOS'!BC3&lt;='Base de dados'!$L$3,'Base de dados'!$L$1,' OVOS'!BC3&lt;='Base de dados'!$M$3,'Base de dados'!$M$1,' OVOS'!BC3&gt;='Base de dados'!$N$2,'Base de dados'!$N$1)</f>
        <v/>
      </c>
      <c r="BD5" s="25" t="str" cm="1">
        <f t="array" ref="BD5">_xlfn.IFS(BD3="","",BD3&lt;='Base de dados'!$K$2,'Base de dados'!$K$1,' OVOS'!BD3&lt;='Base de dados'!$L$3,'Base de dados'!$L$1,' OVOS'!BD3&lt;='Base de dados'!$M$3,'Base de dados'!$M$1,' OVOS'!BD3&gt;='Base de dados'!$N$2,'Base de dados'!$N$1)</f>
        <v/>
      </c>
      <c r="BE5" s="25" t="str" cm="1">
        <f t="array" ref="BE5">_xlfn.IFS(BE3="","",BE3&lt;='Base de dados'!$K$2,'Base de dados'!$K$1,' OVOS'!BE3&lt;='Base de dados'!$L$3,'Base de dados'!$L$1,' OVOS'!BE3&lt;='Base de dados'!$M$3,'Base de dados'!$M$1,' OVOS'!BE3&gt;='Base de dados'!$N$2,'Base de dados'!$N$1)</f>
        <v/>
      </c>
      <c r="BF5" s="25" t="str" cm="1">
        <f t="array" ref="BF5">_xlfn.IFS(BF3="","",BF3&lt;='Base de dados'!$K$2,'Base de dados'!$K$1,' OVOS'!BF3&lt;='Base de dados'!$L$3,'Base de dados'!$L$1,' OVOS'!BF3&lt;='Base de dados'!$M$3,'Base de dados'!$M$1,' OVOS'!BF3&gt;='Base de dados'!$N$2,'Base de dados'!$N$1)</f>
        <v/>
      </c>
      <c r="BG5" s="25" t="str" cm="1">
        <f t="array" ref="BG5">_xlfn.IFS(BG3="","",BG3&lt;='Base de dados'!$K$2,'Base de dados'!$K$1,' OVOS'!BG3&lt;='Base de dados'!$L$3,'Base de dados'!$L$1,' OVOS'!BG3&lt;='Base de dados'!$M$3,'Base de dados'!$M$1,' OVOS'!BG3&gt;='Base de dados'!$N$2,'Base de dados'!$N$1)</f>
        <v/>
      </c>
      <c r="BH5" s="25" t="str" cm="1">
        <f t="array" ref="BH5">_xlfn.IFS(BH3="","",BH3&lt;='Base de dados'!$K$2,'Base de dados'!$K$1,' OVOS'!BH3&lt;='Base de dados'!$L$3,'Base de dados'!$L$1,' OVOS'!BH3&lt;='Base de dados'!$M$3,'Base de dados'!$M$1,' OVOS'!BH3&gt;='Base de dados'!$N$2,'Base de dados'!$N$1)</f>
        <v/>
      </c>
      <c r="BI5" s="25" t="str" cm="1">
        <f t="array" ref="BI5">_xlfn.IFS(BI3="","",BI3&lt;='Base de dados'!$K$2,'Base de dados'!$K$1,' OVOS'!BI3&lt;='Base de dados'!$L$3,'Base de dados'!$L$1,' OVOS'!BI3&lt;='Base de dados'!$M$3,'Base de dados'!$M$1,' OVOS'!BI3&gt;='Base de dados'!$N$2,'Base de dados'!$N$1)</f>
        <v/>
      </c>
      <c r="BJ5" s="25" t="str" cm="1">
        <f t="array" ref="BJ5">_xlfn.IFS(BJ3="","",BJ3&lt;='Base de dados'!$K$2,'Base de dados'!$K$1,' OVOS'!BJ3&lt;='Base de dados'!$L$3,'Base de dados'!$L$1,' OVOS'!BJ3&lt;='Base de dados'!$M$3,'Base de dados'!$M$1,' OVOS'!BJ3&gt;='Base de dados'!$N$2,'Base de dados'!$N$1)</f>
        <v/>
      </c>
      <c r="BK5" s="25" t="str" cm="1">
        <f t="array" ref="BK5">_xlfn.IFS(BK3="","",BK3&lt;='Base de dados'!$K$2,'Base de dados'!$K$1,' OVOS'!BK3&lt;='Base de dados'!$L$3,'Base de dados'!$L$1,' OVOS'!BK3&lt;='Base de dados'!$M$3,'Base de dados'!$M$1,' OVOS'!BK3&gt;='Base de dados'!$N$2,'Base de dados'!$N$1)</f>
        <v/>
      </c>
      <c r="BL5" s="25" t="str" cm="1">
        <f t="array" ref="BL5">_xlfn.IFS(BL3="","",BL3&lt;='Base de dados'!$K$2,'Base de dados'!$K$1,' OVOS'!BL3&lt;='Base de dados'!$L$3,'Base de dados'!$L$1,' OVOS'!BL3&lt;='Base de dados'!$M$3,'Base de dados'!$M$1,' OVOS'!BL3&gt;='Base de dados'!$N$2,'Base de dados'!$N$1)</f>
        <v/>
      </c>
      <c r="BM5" s="25" t="str" cm="1">
        <f t="array" ref="BM5">_xlfn.IFS(BM3="","",BM3&lt;='Base de dados'!$K$2,'Base de dados'!$K$1,' OVOS'!BM3&lt;='Base de dados'!$L$3,'Base de dados'!$L$1,' OVOS'!BM3&lt;='Base de dados'!$M$3,'Base de dados'!$M$1,' OVOS'!BM3&gt;='Base de dados'!$N$2,'Base de dados'!$N$1)</f>
        <v/>
      </c>
      <c r="BN5" s="25" t="str" cm="1">
        <f t="array" ref="BN5">_xlfn.IFS(BN3="","",BN3&lt;='Base de dados'!$K$2,'Base de dados'!$K$1,' OVOS'!BN3&lt;='Base de dados'!$L$3,'Base de dados'!$L$1,' OVOS'!BN3&lt;='Base de dados'!$M$3,'Base de dados'!$M$1,' OVOS'!BN3&gt;='Base de dados'!$N$2,'Base de dados'!$N$1)</f>
        <v/>
      </c>
      <c r="BO5" s="25" t="str" cm="1">
        <f t="array" ref="BO5">_xlfn.IFS(BO3="","",BO3&lt;='Base de dados'!$K$2,'Base de dados'!$K$1,' OVOS'!BO3&lt;='Base de dados'!$L$3,'Base de dados'!$L$1,' OVOS'!BO3&lt;='Base de dados'!$M$3,'Base de dados'!$M$1,' OVOS'!BO3&gt;='Base de dados'!$N$2,'Base de dados'!$N$1)</f>
        <v/>
      </c>
      <c r="BP5" s="25" t="str" cm="1">
        <f t="array" ref="BP5">_xlfn.IFS(BP3="","",BP3&lt;='Base de dados'!$K$2,'Base de dados'!$K$1,' OVOS'!BP3&lt;='Base de dados'!$L$3,'Base de dados'!$L$1,' OVOS'!BP3&lt;='Base de dados'!$M$3,'Base de dados'!$M$1,' OVOS'!BP3&gt;='Base de dados'!$N$2,'Base de dados'!$N$1)</f>
        <v/>
      </c>
      <c r="BQ5" s="25" t="str" cm="1">
        <f t="array" ref="BQ5">_xlfn.IFS(BQ3="","",BQ3&lt;='Base de dados'!$K$2,'Base de dados'!$K$1,' OVOS'!BQ3&lt;='Base de dados'!$L$3,'Base de dados'!$L$1,' OVOS'!BQ3&lt;='Base de dados'!$M$3,'Base de dados'!$M$1,' OVOS'!BQ3&gt;='Base de dados'!$N$2,'Base de dados'!$N$1)</f>
        <v/>
      </c>
      <c r="BR5" s="25" t="str" cm="1">
        <f t="array" ref="BR5">_xlfn.IFS(BR3="","",BR3&lt;='Base de dados'!$K$2,'Base de dados'!$K$1,' OVOS'!BR3&lt;='Base de dados'!$L$3,'Base de dados'!$L$1,' OVOS'!BR3&lt;='Base de dados'!$M$3,'Base de dados'!$M$1,' OVOS'!BR3&gt;='Base de dados'!$N$2,'Base de dados'!$N$1)</f>
        <v/>
      </c>
      <c r="BS5" s="25" t="str" cm="1">
        <f t="array" ref="BS5">_xlfn.IFS(BS3="","",BS3&lt;='Base de dados'!$K$2,'Base de dados'!$K$1,' OVOS'!BS3&lt;='Base de dados'!$L$3,'Base de dados'!$L$1,' OVOS'!BS3&lt;='Base de dados'!$M$3,'Base de dados'!$M$1,' OVOS'!BS3&gt;='Base de dados'!$N$2,'Base de dados'!$N$1)</f>
        <v/>
      </c>
      <c r="BT5" s="25" t="str" cm="1">
        <f t="array" ref="BT5">_xlfn.IFS(BT3="","",BT3&lt;='Base de dados'!$K$2,'Base de dados'!$K$1,' OVOS'!BT3&lt;='Base de dados'!$L$3,'Base de dados'!$L$1,' OVOS'!BT3&lt;='Base de dados'!$M$3,'Base de dados'!$M$1,' OVOS'!BT3&gt;='Base de dados'!$N$2,'Base de dados'!$N$1)</f>
        <v/>
      </c>
      <c r="BU5" s="25" t="str" cm="1">
        <f t="array" ref="BU5">_xlfn.IFS(BU3="","",BU3&lt;='Base de dados'!$K$2,'Base de dados'!$K$1,' OVOS'!BU3&lt;='Base de dados'!$L$3,'Base de dados'!$L$1,' OVOS'!BU3&lt;='Base de dados'!$M$3,'Base de dados'!$M$1,' OVOS'!BU3&gt;='Base de dados'!$N$2,'Base de dados'!$N$1)</f>
        <v/>
      </c>
      <c r="BV5" s="25" t="str" cm="1">
        <f t="array" ref="BV5">_xlfn.IFS(BV3="","",BV3&lt;='Base de dados'!$K$2,'Base de dados'!$K$1,' OVOS'!BV3&lt;='Base de dados'!$L$3,'Base de dados'!$L$1,' OVOS'!BV3&lt;='Base de dados'!$M$3,'Base de dados'!$M$1,' OVOS'!BV3&gt;='Base de dados'!$N$2,'Base de dados'!$N$1)</f>
        <v/>
      </c>
      <c r="BW5" s="25" t="str" cm="1">
        <f t="array" ref="BW5">_xlfn.IFS(BW3="","",BW3&lt;='Base de dados'!$K$2,'Base de dados'!$K$1,' OVOS'!BW3&lt;='Base de dados'!$L$3,'Base de dados'!$L$1,' OVOS'!BW3&lt;='Base de dados'!$M$3,'Base de dados'!$M$1,' OVOS'!BW3&gt;='Base de dados'!$N$2,'Base de dados'!$N$1)</f>
        <v/>
      </c>
      <c r="BX5" s="25" t="str" cm="1">
        <f t="array" ref="BX5">_xlfn.IFS(BX3="","",BX3&lt;='Base de dados'!$K$2,'Base de dados'!$K$1,' OVOS'!BX3&lt;='Base de dados'!$L$3,'Base de dados'!$L$1,' OVOS'!BX3&lt;='Base de dados'!$M$3,'Base de dados'!$M$1,' OVOS'!BX3&gt;='Base de dados'!$N$2,'Base de dados'!$N$1)</f>
        <v/>
      </c>
      <c r="BY5" s="25" t="str" cm="1">
        <f t="array" ref="BY5">_xlfn.IFS(BY3="","",BY3&lt;='Base de dados'!$K$2,'Base de dados'!$K$1,' OVOS'!BY3&lt;='Base de dados'!$L$3,'Base de dados'!$L$1,' OVOS'!BY3&lt;='Base de dados'!$M$3,'Base de dados'!$M$1,' OVOS'!BY3&gt;='Base de dados'!$N$2,'Base de dados'!$N$1)</f>
        <v/>
      </c>
      <c r="BZ5" s="25" t="str" cm="1">
        <f t="array" ref="BZ5">_xlfn.IFS(BZ3="","",BZ3&lt;='Base de dados'!$K$2,'Base de dados'!$K$1,' OVOS'!BZ3&lt;='Base de dados'!$L$3,'Base de dados'!$L$1,' OVOS'!BZ3&lt;='Base de dados'!$M$3,'Base de dados'!$M$1,' OVOS'!BZ3&gt;='Base de dados'!$N$2,'Base de dados'!$N$1)</f>
        <v/>
      </c>
      <c r="CA5" s="25" t="str" cm="1">
        <f t="array" ref="CA5">_xlfn.IFS(CA3="","",CA3&lt;='Base de dados'!$K$2,'Base de dados'!$K$1,' OVOS'!CA3&lt;='Base de dados'!$L$3,'Base de dados'!$L$1,' OVOS'!CA3&lt;='Base de dados'!$M$3,'Base de dados'!$M$1,' OVOS'!CA3&gt;='Base de dados'!$N$2,'Base de dados'!$N$1)</f>
        <v/>
      </c>
      <c r="CB5" s="25" t="str" cm="1">
        <f t="array" ref="CB5">_xlfn.IFS(CB3="","",CB3&lt;='Base de dados'!$K$2,'Base de dados'!$K$1,' OVOS'!CB3&lt;='Base de dados'!$L$3,'Base de dados'!$L$1,' OVOS'!CB3&lt;='Base de dados'!$M$3,'Base de dados'!$M$1,' OVOS'!CB3&gt;='Base de dados'!$N$2,'Base de dados'!$N$1)</f>
        <v/>
      </c>
      <c r="CC5" s="25" t="str" cm="1">
        <f t="array" ref="CC5">_xlfn.IFS(CC3="","",CC3&lt;='Base de dados'!$K$2,'Base de dados'!$K$1,' OVOS'!CC3&lt;='Base de dados'!$L$3,'Base de dados'!$L$1,' OVOS'!CC3&lt;='Base de dados'!$M$3,'Base de dados'!$M$1,' OVOS'!CC3&gt;='Base de dados'!$N$2,'Base de dados'!$N$1)</f>
        <v/>
      </c>
      <c r="CD5" s="25" t="str" cm="1">
        <f t="array" ref="CD5">_xlfn.IFS(CD3="","",CD3&lt;='Base de dados'!$K$2,'Base de dados'!$K$1,' OVOS'!CD3&lt;='Base de dados'!$L$3,'Base de dados'!$L$1,' OVOS'!CD3&lt;='Base de dados'!$M$3,'Base de dados'!$M$1,' OVOS'!CD3&gt;='Base de dados'!$N$2,'Base de dados'!$N$1)</f>
        <v/>
      </c>
      <c r="CE5" s="25" t="str" cm="1">
        <f t="array" ref="CE5">_xlfn.IFS(CE3="","",CE3&lt;='Base de dados'!$K$2,'Base de dados'!$K$1,' OVOS'!CE3&lt;='Base de dados'!$L$3,'Base de dados'!$L$1,' OVOS'!CE3&lt;='Base de dados'!$M$3,'Base de dados'!$M$1,' OVOS'!CE3&gt;='Base de dados'!$N$2,'Base de dados'!$N$1)</f>
        <v/>
      </c>
      <c r="CF5" s="25" t="str" cm="1">
        <f t="array" ref="CF5">_xlfn.IFS(CF3="","",CF3&lt;='Base de dados'!$K$2,'Base de dados'!$K$1,' OVOS'!CF3&lt;='Base de dados'!$L$3,'Base de dados'!$L$1,' OVOS'!CF3&lt;='Base de dados'!$M$3,'Base de dados'!$M$1,' OVOS'!CF3&gt;='Base de dados'!$N$2,'Base de dados'!$N$1)</f>
        <v/>
      </c>
      <c r="CG5" s="25" t="str" cm="1">
        <f t="array" ref="CG5">_xlfn.IFS(CG3="","",CG3&lt;='Base de dados'!$K$2,'Base de dados'!$K$1,' OVOS'!CG3&lt;='Base de dados'!$L$3,'Base de dados'!$L$1,' OVOS'!CG3&lt;='Base de dados'!$M$3,'Base de dados'!$M$1,' OVOS'!CG3&gt;='Base de dados'!$N$2,'Base de dados'!$N$1)</f>
        <v/>
      </c>
      <c r="CH5" s="25" t="str" cm="1">
        <f t="array" ref="CH5">_xlfn.IFS(CH3="","",CH3&lt;='Base de dados'!$K$2,'Base de dados'!$K$1,' OVOS'!CH3&lt;='Base de dados'!$L$3,'Base de dados'!$L$1,' OVOS'!CH3&lt;='Base de dados'!$M$3,'Base de dados'!$M$1,' OVOS'!CH3&gt;='Base de dados'!$N$2,'Base de dados'!$N$1)</f>
        <v/>
      </c>
      <c r="CI5" s="25" t="str" cm="1">
        <f t="array" ref="CI5">_xlfn.IFS(CI3="","",CI3&lt;='Base de dados'!$K$2,'Base de dados'!$K$1,' OVOS'!CI3&lt;='Base de dados'!$L$3,'Base de dados'!$L$1,' OVOS'!CI3&lt;='Base de dados'!$M$3,'Base de dados'!$M$1,' OVOS'!CI3&gt;='Base de dados'!$N$2,'Base de dados'!$N$1)</f>
        <v/>
      </c>
      <c r="CJ5" s="25" t="str" cm="1">
        <f t="array" ref="CJ5">_xlfn.IFS(CJ3="","",CJ3&lt;='Base de dados'!$K$2,'Base de dados'!$K$1,' OVOS'!CJ3&lt;='Base de dados'!$L$3,'Base de dados'!$L$1,' OVOS'!CJ3&lt;='Base de dados'!$M$3,'Base de dados'!$M$1,' OVOS'!CJ3&gt;='Base de dados'!$N$2,'Base de dados'!$N$1)</f>
        <v/>
      </c>
      <c r="CK5" s="25" t="str" cm="1">
        <f t="array" ref="CK5">_xlfn.IFS(CK3="","",CK3&lt;='Base de dados'!$K$2,'Base de dados'!$K$1,' OVOS'!CK3&lt;='Base de dados'!$L$3,'Base de dados'!$L$1,' OVOS'!CK3&lt;='Base de dados'!$M$3,'Base de dados'!$M$1,' OVOS'!CK3&gt;='Base de dados'!$N$2,'Base de dados'!$N$1)</f>
        <v/>
      </c>
      <c r="CL5" s="25" t="str" cm="1">
        <f t="array" ref="CL5">_xlfn.IFS(CL3="","",CL3&lt;='Base de dados'!$K$2,'Base de dados'!$K$1,' OVOS'!CL3&lt;='Base de dados'!$L$3,'Base de dados'!$L$1,' OVOS'!CL3&lt;='Base de dados'!$M$3,'Base de dados'!$M$1,' OVOS'!CL3&gt;='Base de dados'!$N$2,'Base de dados'!$N$1)</f>
        <v/>
      </c>
      <c r="CM5" s="25" t="str" cm="1">
        <f t="array" ref="CM5">_xlfn.IFS(CM3="","",CM3&lt;='Base de dados'!$K$2,'Base de dados'!$K$1,' OVOS'!CM3&lt;='Base de dados'!$L$3,'Base de dados'!$L$1,' OVOS'!CM3&lt;='Base de dados'!$M$3,'Base de dados'!$M$1,' OVOS'!CM3&gt;='Base de dados'!$N$2,'Base de dados'!$N$1)</f>
        <v/>
      </c>
      <c r="CN5" s="25" t="str" cm="1">
        <f t="array" ref="CN5">_xlfn.IFS(CN3="","",CN3&lt;='Base de dados'!$K$2,'Base de dados'!$K$1,' OVOS'!CN3&lt;='Base de dados'!$L$3,'Base de dados'!$L$1,' OVOS'!CN3&lt;='Base de dados'!$M$3,'Base de dados'!$M$1,' OVOS'!CN3&gt;='Base de dados'!$N$2,'Base de dados'!$N$1)</f>
        <v/>
      </c>
      <c r="CO5" s="25" t="str" cm="1">
        <f t="array" ref="CO5">_xlfn.IFS(CO3="","",CO3&lt;='Base de dados'!$K$2,'Base de dados'!$K$1,' OVOS'!CO3&lt;='Base de dados'!$L$3,'Base de dados'!$L$1,' OVOS'!CO3&lt;='Base de dados'!$M$3,'Base de dados'!$M$1,' OVOS'!CO3&gt;='Base de dados'!$N$2,'Base de dados'!$N$1)</f>
        <v/>
      </c>
    </row>
    <row r="6" spans="1:93" ht="21" customHeight="1" x14ac:dyDescent="0.25">
      <c r="B6" s="7" t="s">
        <v>1</v>
      </c>
      <c r="C6" s="45" t="s">
        <v>877</v>
      </c>
      <c r="D6" s="7" t="s">
        <v>5</v>
      </c>
      <c r="E6" s="39">
        <f ca="1">TODAY()</f>
        <v>45217</v>
      </c>
      <c r="G6" s="19" t="s">
        <v>533</v>
      </c>
      <c r="H6" s="3">
        <f>COUNTIF(Tabela22[Sem 15],"&lt;="&amp;'Base de dados'!$K$2)</f>
        <v>0</v>
      </c>
      <c r="I6" s="3">
        <f>COUNTIF(Tabela22[Sem 16],"&lt;="&amp;'Base de dados'!$K$2)</f>
        <v>0</v>
      </c>
      <c r="J6" s="3">
        <f>COUNTIF(Tabela22[Sem 17],"&lt;="&amp;'Base de dados'!$K$2)</f>
        <v>0</v>
      </c>
      <c r="K6" s="3">
        <f>COUNTIF(Tabela22[Sem 18],"&lt;="&amp;'Base de dados'!$K$2)</f>
        <v>0</v>
      </c>
      <c r="L6" s="3">
        <f>COUNTIF(Tabela22[Sem 19],"&lt;="&amp;'Base de dados'!$K$2)</f>
        <v>0</v>
      </c>
      <c r="M6" s="3">
        <f>COUNTIF(Tabela22[Sem 20],"&lt;="&amp;'Base de dados'!$K$2)</f>
        <v>0</v>
      </c>
      <c r="N6" s="3">
        <f>COUNTIF(Tabela22[Sem 21],"&lt;="&amp;'Base de dados'!$K$2)</f>
        <v>0</v>
      </c>
      <c r="O6" s="3">
        <f>COUNTIF(Tabela22[Sem 22],"&lt;="&amp;'Base de dados'!$K$2)</f>
        <v>0</v>
      </c>
      <c r="P6" s="3">
        <f>COUNTIF(Tabela22[Sem 23],"&lt;="&amp;'Base de dados'!$K$2)</f>
        <v>0</v>
      </c>
      <c r="Q6" s="3">
        <f>COUNTIF(Tabela22[Sem 24],"&lt;="&amp;'Base de dados'!$K$2)</f>
        <v>0</v>
      </c>
      <c r="R6" s="3">
        <f>COUNTIF(Tabela22[Sem 25],"&lt;="&amp;'Base de dados'!$K$2)</f>
        <v>0</v>
      </c>
      <c r="S6" s="3">
        <f>COUNTIF(Tabela22[Sem 26],"&lt;="&amp;'Base de dados'!$K$2)</f>
        <v>0</v>
      </c>
      <c r="T6" s="3">
        <f>COUNTIF(Tabela22[Sem 27],"&lt;="&amp;'Base de dados'!$K$2)</f>
        <v>0</v>
      </c>
      <c r="U6" s="3">
        <f>COUNTIF(Tabela22[Sem 28],"&lt;="&amp;'Base de dados'!$K$2)</f>
        <v>0</v>
      </c>
      <c r="V6" s="3">
        <f>COUNTIF(Tabela22[Sem 29],"&lt;="&amp;'Base de dados'!$K$2)</f>
        <v>0</v>
      </c>
      <c r="W6" s="3">
        <f>COUNTIF(Tabela22[Sem 30],"&lt;="&amp;'Base de dados'!$K$2)</f>
        <v>0</v>
      </c>
      <c r="X6" s="3">
        <f>COUNTIF(Tabela22[Sem 31],"&lt;="&amp;'Base de dados'!$K$2)</f>
        <v>0</v>
      </c>
      <c r="Y6" s="3">
        <f>COUNTIF(Tabela22[Sem 32],"&lt;="&amp;'Base de dados'!$K$2)</f>
        <v>0</v>
      </c>
      <c r="Z6" s="3">
        <f>COUNTIF(Tabela22[Sem 33],"&lt;="&amp;'Base de dados'!$K$2)</f>
        <v>0</v>
      </c>
      <c r="AA6" s="3">
        <f>COUNTIF(Tabela22[Sem 34],"&lt;="&amp;'Base de dados'!$K$2)</f>
        <v>0</v>
      </c>
      <c r="AB6" s="3">
        <f>COUNTIF(Tabela22[Sem 35],"&lt;="&amp;'Base de dados'!$K$2)</f>
        <v>0</v>
      </c>
      <c r="AC6" s="3">
        <f>COUNTIF(Tabela22[Sem 36],"&lt;="&amp;'Base de dados'!$K$2)</f>
        <v>0</v>
      </c>
      <c r="AD6" s="3">
        <f>COUNTIF(Tabela22[Sem 37],"&lt;="&amp;'Base de dados'!$K$2)</f>
        <v>0</v>
      </c>
      <c r="AE6" s="3">
        <f>COUNTIF(Tabela22[Sem 38],"&lt;="&amp;'Base de dados'!$K$2)</f>
        <v>0</v>
      </c>
      <c r="AF6" s="3">
        <f>COUNTIF(Tabela22[Sem 39],"&lt;="&amp;'Base de dados'!$K$2)</f>
        <v>0</v>
      </c>
      <c r="AG6" s="3">
        <f>COUNTIF(Tabela22[Sem 40],"&lt;="&amp;'Base de dados'!$K$2)</f>
        <v>0</v>
      </c>
      <c r="AH6" s="3">
        <f>COUNTIF(Tabela22[Sem 41],"&lt;="&amp;'Base de dados'!$K$2)</f>
        <v>0</v>
      </c>
      <c r="AI6" s="3">
        <f>COUNTIF(Tabela22[Sem 42],"&lt;="&amp;'Base de dados'!$K$2)</f>
        <v>0</v>
      </c>
      <c r="AJ6" s="3">
        <f>COUNTIF(Tabela22[Sem 43],"&lt;="&amp;'Base de dados'!$K$2)</f>
        <v>0</v>
      </c>
      <c r="AK6" s="3">
        <f>COUNTIF(Tabela22[Sem 44],"&lt;="&amp;'Base de dados'!$K$2)</f>
        <v>0</v>
      </c>
      <c r="AL6" s="3">
        <f>COUNTIF(Tabela22[Sem 45],"&lt;="&amp;'Base de dados'!$K$2)</f>
        <v>0</v>
      </c>
      <c r="AM6" s="3">
        <f>COUNTIF(Tabela22[Sem 46],"&lt;="&amp;'Base de dados'!$K$2)</f>
        <v>0</v>
      </c>
      <c r="AN6" s="3">
        <f>COUNTIF(Tabela22[Sem 47],"&lt;="&amp;'Base de dados'!$K$2)</f>
        <v>0</v>
      </c>
      <c r="AO6" s="3">
        <f>COUNTIF(Tabela22[Sem 48],"&lt;="&amp;'Base de dados'!$K$2)</f>
        <v>0</v>
      </c>
      <c r="AP6" s="3">
        <f>COUNTIF(Tabela22[Sem 49],"&lt;="&amp;'Base de dados'!$K$2)</f>
        <v>0</v>
      </c>
      <c r="AQ6" s="3">
        <f>COUNTIF(Tabela22[Sem 50],"&lt;="&amp;'Base de dados'!$K$2)</f>
        <v>0</v>
      </c>
      <c r="AR6" s="3">
        <f>COUNTIF(Tabela22[Sem 51],"&lt;="&amp;'Base de dados'!$K$2)</f>
        <v>0</v>
      </c>
      <c r="AS6" s="3">
        <f>COUNTIF(Tabela22[Sem 52],"&lt;="&amp;'Base de dados'!$K$2)</f>
        <v>0</v>
      </c>
      <c r="AT6" s="3">
        <f>COUNTIF(Tabela22[Sem 53],"&lt;="&amp;'Base de dados'!$K$2)</f>
        <v>0</v>
      </c>
      <c r="AU6" s="3">
        <f>COUNTIF(Tabela22[Sem 54],"&lt;="&amp;'Base de dados'!$K$2)</f>
        <v>0</v>
      </c>
      <c r="AV6" s="3">
        <f>COUNTIF(Tabela22[Sem 55],"&lt;="&amp;'Base de dados'!$K$2)</f>
        <v>0</v>
      </c>
      <c r="AW6" s="3">
        <f>COUNTIF(Tabela22[Sem 56],"&lt;="&amp;'Base de dados'!$K$2)</f>
        <v>0</v>
      </c>
      <c r="AX6" s="3">
        <f>COUNTIF(Tabela22[Sem 57],"&lt;="&amp;'Base de dados'!$K$2)</f>
        <v>0</v>
      </c>
      <c r="AY6" s="3">
        <f>COUNTIF(Tabela22[Sem 58],"&lt;="&amp;'Base de dados'!$K$2)</f>
        <v>0</v>
      </c>
      <c r="AZ6" s="3">
        <f>COUNTIF(Tabela22[Sem 59],"&lt;="&amp;'Base de dados'!$K$2)</f>
        <v>0</v>
      </c>
      <c r="BA6" s="3">
        <f>COUNTIF(Tabela22[Sem 60],"&lt;="&amp;'Base de dados'!$K$2)</f>
        <v>0</v>
      </c>
      <c r="BB6" s="3">
        <f>COUNTIF(Tabela22[Sem 61],"&lt;="&amp;'Base de dados'!$K$2)</f>
        <v>0</v>
      </c>
      <c r="BC6" s="3">
        <f>COUNTIF(Tabela22[Sem 62],"&lt;="&amp;'Base de dados'!$K$2)</f>
        <v>0</v>
      </c>
      <c r="BD6" s="3">
        <f>COUNTIF(Tabela22[Sem 63],"&lt;="&amp;'Base de dados'!$K$2)</f>
        <v>0</v>
      </c>
      <c r="BE6" s="3">
        <f>COUNTIF(Tabela22[Sem 64],"&lt;="&amp;'Base de dados'!$K$2)</f>
        <v>0</v>
      </c>
      <c r="BF6" s="3">
        <f>COUNTIF(Tabela22[Sem 65],"&lt;="&amp;'Base de dados'!$K$2)</f>
        <v>0</v>
      </c>
      <c r="BG6" s="3">
        <f>COUNTIF(Tabela22[Sem 66],"&lt;="&amp;'Base de dados'!$K$2)</f>
        <v>0</v>
      </c>
      <c r="BH6" s="3">
        <f>COUNTIF(Tabela22[Sem 67],"&lt;="&amp;'Base de dados'!$K$2)</f>
        <v>0</v>
      </c>
      <c r="BI6" s="3">
        <f>COUNTIF(Tabela22[Sem 68],"&lt;="&amp;'Base de dados'!$K$2)</f>
        <v>0</v>
      </c>
      <c r="BJ6" s="3">
        <f>COUNTIF(Tabela22[Sem 69],"&lt;="&amp;'Base de dados'!$K$2)</f>
        <v>0</v>
      </c>
      <c r="BK6" s="3">
        <f>COUNTIF(Tabela22[Sem 70],"&lt;="&amp;'Base de dados'!$K$2)</f>
        <v>0</v>
      </c>
      <c r="BL6" s="3">
        <f>COUNTIF(Tabela22[Sem 71],"&lt;="&amp;'Base de dados'!$K$2)</f>
        <v>0</v>
      </c>
      <c r="BM6" s="3">
        <f>COUNTIF(Tabela22[Sem 72],"&lt;="&amp;'Base de dados'!$K$2)</f>
        <v>0</v>
      </c>
      <c r="BN6" s="3">
        <f>COUNTIF(Tabela22[Sem 73],"&lt;="&amp;'Base de dados'!$K$2)</f>
        <v>0</v>
      </c>
      <c r="BO6" s="3">
        <f>COUNTIF(Tabela22[Sem 74],"&lt;="&amp;'Base de dados'!$K$2)</f>
        <v>0</v>
      </c>
      <c r="BP6" s="3">
        <f>COUNTIF(Tabela22[Sem 75],"&lt;="&amp;'Base de dados'!$K$2)</f>
        <v>0</v>
      </c>
      <c r="BQ6" s="3">
        <f>COUNTIF(Tabela22[Sem 76],"&lt;="&amp;'Base de dados'!$K$2)</f>
        <v>0</v>
      </c>
      <c r="BR6" s="3">
        <f>COUNTIF(Tabela22[Sem 77],"&lt;="&amp;'Base de dados'!$K$2)</f>
        <v>0</v>
      </c>
      <c r="BS6" s="3">
        <f>COUNTIF(Tabela22[Sem 78],"&lt;="&amp;'Base de dados'!$K$2)</f>
        <v>0</v>
      </c>
      <c r="BT6" s="3">
        <f>COUNTIF(Tabela22[Sem 79],"&lt;="&amp;'Base de dados'!$K$2)</f>
        <v>0</v>
      </c>
      <c r="BU6" s="3">
        <f>COUNTIF(Tabela22[Sem 80],"&lt;="&amp;'Base de dados'!$K$2)</f>
        <v>0</v>
      </c>
      <c r="BV6" s="3">
        <f>COUNTIF(Tabela22[Sem 81],"&lt;="&amp;'Base de dados'!$K$2)</f>
        <v>0</v>
      </c>
      <c r="BW6" s="3">
        <f>COUNTIF(Tabela22[Sem 82],"&lt;="&amp;'Base de dados'!$K$2)</f>
        <v>0</v>
      </c>
      <c r="BX6" s="3">
        <f>COUNTIF(Tabela22[Sem 83],"&lt;="&amp;'Base de dados'!$K$2)</f>
        <v>0</v>
      </c>
      <c r="BY6" s="3">
        <f>COUNTIF(Tabela22[Sem 84],"&lt;="&amp;'Base de dados'!$K$2)</f>
        <v>0</v>
      </c>
      <c r="BZ6" s="3">
        <f>COUNTIF(Tabela22[Sem 85],"&lt;="&amp;'Base de dados'!$K$2)</f>
        <v>0</v>
      </c>
      <c r="CA6" s="3">
        <f>COUNTIF(Tabela22[Sem 86],"&lt;="&amp;'Base de dados'!$K$2)</f>
        <v>0</v>
      </c>
      <c r="CB6" s="3">
        <f>COUNTIF(Tabela22[Sem 87],"&lt;="&amp;'Base de dados'!$K$2)</f>
        <v>0</v>
      </c>
      <c r="CC6" s="3">
        <f>COUNTIF(Tabela22[Sem 88],"&lt;="&amp;'Base de dados'!$K$2)</f>
        <v>0</v>
      </c>
      <c r="CD6" s="3">
        <f>COUNTIF(Tabela22[Sem 89],"&lt;="&amp;'Base de dados'!$K$2)</f>
        <v>0</v>
      </c>
      <c r="CE6" s="3">
        <f>COUNTIF(Tabela22[Sem 90],"&lt;="&amp;'Base de dados'!$K$2)</f>
        <v>0</v>
      </c>
      <c r="CF6" s="3">
        <f>COUNTIF(Tabela22[Sem 91],"&lt;="&amp;'Base de dados'!$K$2)</f>
        <v>0</v>
      </c>
      <c r="CG6" s="3">
        <f>COUNTIF(Tabela22[Sem 92],"&lt;="&amp;'Base de dados'!$K$2)</f>
        <v>0</v>
      </c>
      <c r="CH6" s="3">
        <f>COUNTIF(Tabela22[Sem 93],"&lt;="&amp;'Base de dados'!$K$2)</f>
        <v>0</v>
      </c>
      <c r="CI6" s="3">
        <f>COUNTIF(Tabela22[Sem 94],"&lt;="&amp;'Base de dados'!$K$2)</f>
        <v>0</v>
      </c>
      <c r="CJ6" s="3">
        <f>COUNTIF(Tabela22[Sem 95],"&lt;="&amp;'Base de dados'!$K$2)</f>
        <v>0</v>
      </c>
      <c r="CK6" s="3">
        <f>COUNTIF(Tabela22[Sem 96],"&lt;="&amp;'Base de dados'!$K$2)</f>
        <v>0</v>
      </c>
      <c r="CL6" s="3">
        <f>COUNTIF(Tabela22[Sem 97],"&lt;="&amp;'Base de dados'!$K$2)</f>
        <v>0</v>
      </c>
      <c r="CM6" s="3">
        <f>COUNTIF(Tabela22[Sem 98],"&lt;="&amp;'Base de dados'!$K$2)</f>
        <v>0</v>
      </c>
      <c r="CN6" s="3">
        <f>COUNTIF(Tabela22[Sem 99],"&lt;="&amp;'Base de dados'!$K$2)</f>
        <v>0</v>
      </c>
      <c r="CO6" s="3">
        <f>COUNTIF(Tabela22[Sem 100],"&lt;="&amp;'Base de dados'!$K$2)</f>
        <v>0</v>
      </c>
    </row>
    <row r="7" spans="1:93" ht="24" x14ac:dyDescent="0.25">
      <c r="B7" s="7" t="s">
        <v>2</v>
      </c>
      <c r="C7" s="16" t="s">
        <v>527</v>
      </c>
      <c r="D7" s="13" t="s">
        <v>6</v>
      </c>
      <c r="E7" s="40">
        <f ca="1">(E6-C5)/7</f>
        <v>109</v>
      </c>
      <c r="G7" s="19" t="s">
        <v>534</v>
      </c>
      <c r="H7" s="3">
        <f>COUNTIFS(Tabela22[Sem 15],"&gt;="&amp;'Base de dados'!$L$2,Tabela22[Sem 15],"&lt;="&amp;'Base de dados'!$L$3)</f>
        <v>0</v>
      </c>
      <c r="I7" s="3">
        <f>COUNTIFS(Tabela22[Sem 16],"&gt;="&amp;'Base de dados'!$L$2,Tabela22[Sem 16],"&lt;="&amp;'Base de dados'!$L$3)</f>
        <v>0</v>
      </c>
      <c r="J7" s="3">
        <f>COUNTIFS(Tabela22[Sem 17],"&gt;="&amp;'Base de dados'!$L$2,Tabela22[Sem 17],"&lt;="&amp;'Base de dados'!$L$3)</f>
        <v>0</v>
      </c>
      <c r="K7" s="3">
        <f>COUNTIFS(Tabela22[Sem 18],"&gt;="&amp;'Base de dados'!$L$2,Tabela22[Sem 18],"&lt;="&amp;'Base de dados'!$L$3)</f>
        <v>0</v>
      </c>
      <c r="L7" s="3">
        <f>COUNTIFS(Tabela22[Sem 19],"&gt;="&amp;'Base de dados'!$L$2,Tabela22[Sem 19],"&lt;="&amp;'Base de dados'!$L$3)</f>
        <v>0</v>
      </c>
      <c r="M7" s="3">
        <f>COUNTIFS(Tabela22[Sem 20],"&gt;="&amp;'Base de dados'!$L$2,Tabela22[Sem 20],"&lt;="&amp;'Base de dados'!$L$3)</f>
        <v>0</v>
      </c>
      <c r="N7" s="3">
        <f>COUNTIFS(Tabela22[Sem 21],"&gt;="&amp;'Base de dados'!$L$2,Tabela22[Sem 21],"&lt;="&amp;'Base de dados'!$L$3)</f>
        <v>0</v>
      </c>
      <c r="O7" s="3">
        <f>COUNTIFS(Tabela22[Sem 22],"&gt;="&amp;'Base de dados'!$L$2,Tabela22[Sem 22],"&lt;="&amp;'Base de dados'!$L$3)</f>
        <v>0</v>
      </c>
      <c r="P7" s="3">
        <f>COUNTIFS(Tabela22[Sem 23],"&gt;="&amp;'Base de dados'!$L$2,Tabela22[Sem 23],"&lt;="&amp;'Base de dados'!$L$3)</f>
        <v>0</v>
      </c>
      <c r="Q7" s="3">
        <f>COUNTIFS(Tabela22[Sem 24],"&gt;="&amp;'Base de dados'!$L$2,Tabela22[Sem 24],"&lt;="&amp;'Base de dados'!$L$3)</f>
        <v>0</v>
      </c>
      <c r="R7" s="3">
        <f>COUNTIFS(Tabela22[Sem 25],"&gt;="&amp;'Base de dados'!$L$2,Tabela22[Sem 25],"&lt;="&amp;'Base de dados'!$L$3)</f>
        <v>0</v>
      </c>
      <c r="S7" s="3">
        <f>COUNTIFS(Tabela22[Sem 26],"&gt;="&amp;'Base de dados'!$L$2,Tabela22[Sem 26],"&lt;="&amp;'Base de dados'!$L$3)</f>
        <v>0</v>
      </c>
      <c r="T7" s="3">
        <f>COUNTIFS(Tabela22[Sem 27],"&gt;="&amp;'Base de dados'!$L$2,Tabela22[Sem 27],"&lt;="&amp;'Base de dados'!$L$3)</f>
        <v>0</v>
      </c>
      <c r="U7" s="3">
        <f>COUNTIFS(Tabela22[Sem 28],"&gt;="&amp;'Base de dados'!$L$2,Tabela22[Sem 28],"&lt;="&amp;'Base de dados'!$L$3)</f>
        <v>0</v>
      </c>
      <c r="V7" s="3">
        <f>COUNTIFS(Tabela22[Sem 29],"&gt;="&amp;'Base de dados'!$L$2,Tabela22[Sem 29],"&lt;="&amp;'Base de dados'!$L$3)</f>
        <v>0</v>
      </c>
      <c r="W7" s="3">
        <f>COUNTIFS(Tabela22[Sem 30],"&gt;="&amp;'Base de dados'!$L$2,Tabela22[Sem 30],"&lt;="&amp;'Base de dados'!$L$3)</f>
        <v>0</v>
      </c>
      <c r="X7" s="3">
        <f>COUNTIFS(Tabela22[Sem 31],"&gt;="&amp;'Base de dados'!$L$2,Tabela22[Sem 31],"&lt;="&amp;'Base de dados'!$L$3)</f>
        <v>0</v>
      </c>
      <c r="Y7" s="3">
        <f>COUNTIFS(Tabela22[Sem 32],"&gt;="&amp;'Base de dados'!$L$2,Tabela22[Sem 32],"&lt;="&amp;'Base de dados'!$L$3)</f>
        <v>0</v>
      </c>
      <c r="Z7" s="3">
        <f>COUNTIFS(Tabela22[Sem 33],"&gt;="&amp;'Base de dados'!$L$2,Tabela22[Sem 33],"&lt;="&amp;'Base de dados'!$L$3)</f>
        <v>0</v>
      </c>
      <c r="AA7" s="3">
        <f>COUNTIFS(Tabela22[Sem 34],"&gt;="&amp;'Base de dados'!$L$2,Tabela22[Sem 34],"&lt;="&amp;'Base de dados'!$L$3)</f>
        <v>0</v>
      </c>
      <c r="AB7" s="3">
        <f>COUNTIFS(Tabela22[Sem 35],"&gt;="&amp;'Base de dados'!$L$2,Tabela22[Sem 35],"&lt;="&amp;'Base de dados'!$L$3)</f>
        <v>0</v>
      </c>
      <c r="AC7" s="3">
        <f>COUNTIFS(Tabela22[Sem 36],"&gt;="&amp;'Base de dados'!$L$2,Tabela22[Sem 36],"&lt;="&amp;'Base de dados'!$L$3)</f>
        <v>0</v>
      </c>
      <c r="AD7" s="3">
        <f>COUNTIFS(Tabela22[Sem 37],"&gt;="&amp;'Base de dados'!$L$2,Tabela22[Sem 37],"&lt;="&amp;'Base de dados'!$L$3)</f>
        <v>0</v>
      </c>
      <c r="AE7" s="3">
        <f>COUNTIFS(Tabela22[Sem 38],"&gt;="&amp;'Base de dados'!$L$2,Tabela22[Sem 38],"&lt;="&amp;'Base de dados'!$L$3)</f>
        <v>0</v>
      </c>
      <c r="AF7" s="3">
        <f>COUNTIFS(Tabela22[Sem 39],"&gt;="&amp;'Base de dados'!$L$2,Tabela22[Sem 39],"&lt;="&amp;'Base de dados'!$L$3)</f>
        <v>0</v>
      </c>
      <c r="AG7" s="3">
        <f>COUNTIFS(Tabela22[Sem 40],"&gt;="&amp;'Base de dados'!$L$2,Tabela22[Sem 40],"&lt;="&amp;'Base de dados'!$L$3)</f>
        <v>0</v>
      </c>
      <c r="AH7" s="3">
        <f>COUNTIFS(Tabela22[Sem 41],"&gt;="&amp;'Base de dados'!$L$2,Tabela22[Sem 41],"&lt;="&amp;'Base de dados'!$L$3)</f>
        <v>0</v>
      </c>
      <c r="AI7" s="3">
        <f>COUNTIFS(Tabela22[Sem 42],"&gt;="&amp;'Base de dados'!$L$2,Tabela22[Sem 42],"&lt;="&amp;'Base de dados'!$L$3)</f>
        <v>0</v>
      </c>
      <c r="AJ7" s="3">
        <f>COUNTIFS(Tabela22[Sem 43],"&gt;="&amp;'Base de dados'!$L$2,Tabela22[Sem 43],"&lt;="&amp;'Base de dados'!$L$3)</f>
        <v>0</v>
      </c>
      <c r="AK7" s="3">
        <f>COUNTIFS(Tabela22[Sem 44],"&gt;="&amp;'Base de dados'!$L$2,Tabela22[Sem 44],"&lt;="&amp;'Base de dados'!$L$3)</f>
        <v>0</v>
      </c>
      <c r="AL7" s="3">
        <f>COUNTIFS(Tabela22[Sem 45],"&gt;="&amp;'Base de dados'!$L$2,Tabela22[Sem 45],"&lt;="&amp;'Base de dados'!$L$3)</f>
        <v>0</v>
      </c>
      <c r="AM7" s="3">
        <f>COUNTIFS(Tabela22[Sem 46],"&gt;="&amp;'Base de dados'!$L$2,Tabela22[Sem 46],"&lt;="&amp;'Base de dados'!$L$3)</f>
        <v>0</v>
      </c>
      <c r="AN7" s="3">
        <f>COUNTIFS(Tabela22[Sem 47],"&gt;="&amp;'Base de dados'!$L$2,Tabela22[Sem 47],"&lt;="&amp;'Base de dados'!$L$3)</f>
        <v>0</v>
      </c>
      <c r="AO7" s="3">
        <f>COUNTIFS(Tabela22[Sem 48],"&gt;="&amp;'Base de dados'!$L$2,Tabela22[Sem 48],"&lt;="&amp;'Base de dados'!$L$3)</f>
        <v>0</v>
      </c>
      <c r="AP7" s="3">
        <f>COUNTIFS(Tabela22[Sem 49],"&gt;="&amp;'Base de dados'!$L$2,Tabela22[Sem 49],"&lt;="&amp;'Base de dados'!$L$3)</f>
        <v>0</v>
      </c>
      <c r="AQ7" s="3">
        <f>COUNTIFS(Tabela22[Sem 50],"&gt;="&amp;'Base de dados'!$L$2,Tabela22[Sem 50],"&lt;="&amp;'Base de dados'!$L$3)</f>
        <v>0</v>
      </c>
      <c r="AR7" s="3">
        <f>COUNTIFS(Tabela22[Sem 51],"&gt;="&amp;'Base de dados'!$L$2,Tabela22[Sem 51],"&lt;="&amp;'Base de dados'!$L$3)</f>
        <v>0</v>
      </c>
      <c r="AS7" s="3">
        <f>COUNTIFS(Tabela22[Sem 52],"&gt;="&amp;'Base de dados'!$L$2,Tabela22[Sem 52],"&lt;="&amp;'Base de dados'!$L$3)</f>
        <v>0</v>
      </c>
      <c r="AT7" s="3">
        <f>COUNTIFS(Tabela22[Sem 53],"&gt;="&amp;'Base de dados'!$L$2,Tabela22[Sem 53],"&lt;="&amp;'Base de dados'!$L$3)</f>
        <v>0</v>
      </c>
      <c r="AU7" s="3">
        <f>COUNTIFS(Tabela22[Sem 54],"&gt;="&amp;'Base de dados'!$L$2,Tabela22[Sem 54],"&lt;="&amp;'Base de dados'!$L$3)</f>
        <v>0</v>
      </c>
      <c r="AV7" s="3">
        <f>COUNTIFS(Tabela22[Sem 55],"&gt;="&amp;'Base de dados'!$L$2,Tabela22[Sem 55],"&lt;="&amp;'Base de dados'!$L$3)</f>
        <v>0</v>
      </c>
      <c r="AW7" s="3">
        <f>COUNTIFS(Tabela22[Sem 56],"&gt;="&amp;'Base de dados'!$L$2,Tabela22[Sem 56],"&lt;="&amp;'Base de dados'!$L$3)</f>
        <v>0</v>
      </c>
      <c r="AX7" s="3">
        <f>COUNTIFS(Tabela22[Sem 57],"&gt;="&amp;'Base de dados'!$L$2,Tabela22[Sem 57],"&lt;="&amp;'Base de dados'!$L$3)</f>
        <v>0</v>
      </c>
      <c r="AY7" s="3">
        <f>COUNTIFS(Tabela22[Sem 58],"&gt;="&amp;'Base de dados'!$L$2,Tabela22[Sem 58],"&lt;="&amp;'Base de dados'!$L$3)</f>
        <v>0</v>
      </c>
      <c r="AZ7" s="3">
        <f>COUNTIFS(Tabela22[Sem 59],"&gt;="&amp;'Base de dados'!$L$2,Tabela22[Sem 59],"&lt;="&amp;'Base de dados'!$L$3)</f>
        <v>0</v>
      </c>
      <c r="BA7" s="3">
        <f>COUNTIFS(Tabela22[Sem 60],"&gt;="&amp;'Base de dados'!$L$2,Tabela22[Sem 60],"&lt;="&amp;'Base de dados'!$L$3)</f>
        <v>0</v>
      </c>
      <c r="BB7" s="3">
        <f>COUNTIFS(Tabela22[Sem 61],"&gt;="&amp;'Base de dados'!$L$2,Tabela22[Sem 61],"&lt;="&amp;'Base de dados'!$L$3)</f>
        <v>0</v>
      </c>
      <c r="BC7" s="3">
        <f>COUNTIFS(Tabela22[Sem 62],"&gt;="&amp;'Base de dados'!$L$2,Tabela22[Sem 62],"&lt;="&amp;'Base de dados'!$L$3)</f>
        <v>0</v>
      </c>
      <c r="BD7" s="3">
        <f>COUNTIFS(Tabela22[Sem 63],"&gt;="&amp;'Base de dados'!$L$2,Tabela22[Sem 63],"&lt;="&amp;'Base de dados'!$L$3)</f>
        <v>0</v>
      </c>
      <c r="BE7" s="3">
        <f>COUNTIFS(Tabela22[Sem 64],"&gt;="&amp;'Base de dados'!$L$2,Tabela22[Sem 64],"&lt;="&amp;'Base de dados'!$L$3)</f>
        <v>0</v>
      </c>
      <c r="BF7" s="3">
        <f>COUNTIFS(Tabela22[Sem 65],"&gt;="&amp;'Base de dados'!$L$2,Tabela22[Sem 65],"&lt;="&amp;'Base de dados'!$L$3)</f>
        <v>0</v>
      </c>
      <c r="BG7" s="3">
        <f>COUNTIFS(Tabela22[Sem 66],"&gt;="&amp;'Base de dados'!$L$2,Tabela22[Sem 66],"&lt;="&amp;'Base de dados'!$L$3)</f>
        <v>0</v>
      </c>
      <c r="BH7" s="3">
        <f>COUNTIFS(Tabela22[Sem 67],"&gt;="&amp;'Base de dados'!$L$2,Tabela22[Sem 67],"&lt;="&amp;'Base de dados'!$L$3)</f>
        <v>0</v>
      </c>
      <c r="BI7" s="3">
        <f>COUNTIFS(Tabela22[Sem 68],"&gt;="&amp;'Base de dados'!$L$2,Tabela22[Sem 68],"&lt;="&amp;'Base de dados'!$L$3)</f>
        <v>0</v>
      </c>
      <c r="BJ7" s="3">
        <f>COUNTIFS(Tabela22[Sem 69],"&gt;="&amp;'Base de dados'!$L$2,Tabela22[Sem 69],"&lt;="&amp;'Base de dados'!$L$3)</f>
        <v>0</v>
      </c>
      <c r="BK7" s="3">
        <f>COUNTIFS(Tabela22[Sem 70],"&gt;="&amp;'Base de dados'!$L$2,Tabela22[Sem 70],"&lt;="&amp;'Base de dados'!$L$3)</f>
        <v>0</v>
      </c>
      <c r="BL7" s="3">
        <f>COUNTIFS(Tabela22[Sem 71],"&gt;="&amp;'Base de dados'!$L$2,Tabela22[Sem 71],"&lt;="&amp;'Base de dados'!$L$3)</f>
        <v>0</v>
      </c>
      <c r="BM7" s="3">
        <f>COUNTIFS(Tabela22[Sem 72],"&gt;="&amp;'Base de dados'!$L$2,Tabela22[Sem 72],"&lt;="&amp;'Base de dados'!$L$3)</f>
        <v>0</v>
      </c>
      <c r="BN7" s="3">
        <f>COUNTIFS(Tabela22[Sem 73],"&gt;="&amp;'Base de dados'!$L$2,Tabela22[Sem 73],"&lt;="&amp;'Base de dados'!$L$3)</f>
        <v>0</v>
      </c>
      <c r="BO7" s="3">
        <f>COUNTIFS(Tabela22[Sem 74],"&gt;="&amp;'Base de dados'!$L$2,Tabela22[Sem 74],"&lt;="&amp;'Base de dados'!$L$3)</f>
        <v>0</v>
      </c>
      <c r="BP7" s="3">
        <f>COUNTIFS(Tabela22[Sem 75],"&gt;="&amp;'Base de dados'!$L$2,Tabela22[Sem 75],"&lt;="&amp;'Base de dados'!$L$3)</f>
        <v>0</v>
      </c>
      <c r="BQ7" s="3">
        <f>COUNTIFS(Tabela22[Sem 76],"&gt;="&amp;'Base de dados'!$L$2,Tabela22[Sem 76],"&lt;="&amp;'Base de dados'!$L$3)</f>
        <v>0</v>
      </c>
      <c r="BR7" s="3">
        <f>COUNTIFS(Tabela22[Sem 77],"&gt;="&amp;'Base de dados'!$L$2,Tabela22[Sem 77],"&lt;="&amp;'Base de dados'!$L$3)</f>
        <v>0</v>
      </c>
      <c r="BS7" s="3">
        <f>COUNTIFS(Tabela22[Sem 78],"&gt;="&amp;'Base de dados'!$L$2,Tabela22[Sem 78],"&lt;="&amp;'Base de dados'!$L$3)</f>
        <v>0</v>
      </c>
      <c r="BT7" s="3">
        <f>COUNTIFS(Tabela22[Sem 79],"&gt;="&amp;'Base de dados'!$L$2,Tabela22[Sem 79],"&lt;="&amp;'Base de dados'!$L$3)</f>
        <v>0</v>
      </c>
      <c r="BU7" s="3">
        <f>COUNTIFS(Tabela22[Sem 80],"&gt;="&amp;'Base de dados'!$L$2,Tabela22[Sem 80],"&lt;="&amp;'Base de dados'!$L$3)</f>
        <v>0</v>
      </c>
      <c r="BV7" s="3">
        <f>COUNTIFS(Tabela22[Sem 81],"&gt;="&amp;'Base de dados'!$L$2,Tabela22[Sem 81],"&lt;="&amp;'Base de dados'!$L$3)</f>
        <v>0</v>
      </c>
      <c r="BW7" s="3">
        <f>COUNTIFS(Tabela22[Sem 82],"&gt;="&amp;'Base de dados'!$L$2,Tabela22[Sem 82],"&lt;="&amp;'Base de dados'!$L$3)</f>
        <v>0</v>
      </c>
      <c r="BX7" s="3">
        <f>COUNTIFS(Tabela22[Sem 83],"&gt;="&amp;'Base de dados'!$L$2,Tabela22[Sem 83],"&lt;="&amp;'Base de dados'!$L$3)</f>
        <v>0</v>
      </c>
      <c r="BY7" s="3">
        <f>COUNTIFS(Tabela22[Sem 84],"&gt;="&amp;'Base de dados'!$L$2,Tabela22[Sem 84],"&lt;="&amp;'Base de dados'!$L$3)</f>
        <v>0</v>
      </c>
      <c r="BZ7" s="3">
        <f>COUNTIFS(Tabela22[Sem 85],"&gt;="&amp;'Base de dados'!$L$2,Tabela22[Sem 85],"&lt;="&amp;'Base de dados'!$L$3)</f>
        <v>0</v>
      </c>
      <c r="CA7" s="3">
        <f>COUNTIFS(Tabela22[Sem 86],"&gt;="&amp;'Base de dados'!$L$2,Tabela22[Sem 86],"&lt;="&amp;'Base de dados'!$L$3)</f>
        <v>0</v>
      </c>
      <c r="CB7" s="3">
        <f>COUNTIFS(Tabela22[Sem 87],"&gt;="&amp;'Base de dados'!$L$2,Tabela22[Sem 87],"&lt;="&amp;'Base de dados'!$L$3)</f>
        <v>0</v>
      </c>
      <c r="CC7" s="3">
        <f>COUNTIFS(Tabela22[Sem 88],"&gt;="&amp;'Base de dados'!$L$2,Tabela22[Sem 88],"&lt;="&amp;'Base de dados'!$L$3)</f>
        <v>0</v>
      </c>
      <c r="CD7" s="3">
        <f>COUNTIFS(Tabela22[Sem 89],"&gt;="&amp;'Base de dados'!$L$2,Tabela22[Sem 89],"&lt;="&amp;'Base de dados'!$L$3)</f>
        <v>0</v>
      </c>
      <c r="CE7" s="3">
        <f>COUNTIFS(Tabela22[Sem 90],"&gt;="&amp;'Base de dados'!$L$2,Tabela22[Sem 90],"&lt;="&amp;'Base de dados'!$L$3)</f>
        <v>0</v>
      </c>
      <c r="CF7" s="3">
        <f>COUNTIFS(Tabela22[Sem 91],"&gt;="&amp;'Base de dados'!$L$2,Tabela22[Sem 91],"&lt;="&amp;'Base de dados'!$L$3)</f>
        <v>0</v>
      </c>
      <c r="CG7" s="3">
        <f>COUNTIFS(Tabela22[Sem 92],"&gt;="&amp;'Base de dados'!$L$2,Tabela22[Sem 92],"&lt;="&amp;'Base de dados'!$L$3)</f>
        <v>0</v>
      </c>
      <c r="CH7" s="3">
        <f>COUNTIFS(Tabela22[Sem 93],"&gt;="&amp;'Base de dados'!$L$2,Tabela22[Sem 93],"&lt;="&amp;'Base de dados'!$L$3)</f>
        <v>0</v>
      </c>
      <c r="CI7" s="3">
        <f>COUNTIFS(Tabela22[Sem 94],"&gt;="&amp;'Base de dados'!$L$2,Tabela22[Sem 94],"&lt;="&amp;'Base de dados'!$L$3)</f>
        <v>0</v>
      </c>
      <c r="CJ7" s="3">
        <f>COUNTIFS(Tabela22[Sem 95],"&gt;="&amp;'Base de dados'!$L$2,Tabela22[Sem 95],"&lt;="&amp;'Base de dados'!$L$3)</f>
        <v>0</v>
      </c>
      <c r="CK7" s="3">
        <f>COUNTIFS(Tabela22[Sem 96],"&gt;="&amp;'Base de dados'!$L$2,Tabela22[Sem 96],"&lt;="&amp;'Base de dados'!$L$3)</f>
        <v>0</v>
      </c>
      <c r="CL7" s="3">
        <f>COUNTIFS(Tabela22[Sem 97],"&gt;="&amp;'Base de dados'!$L$2,Tabela22[Sem 97],"&lt;="&amp;'Base de dados'!$L$3)</f>
        <v>0</v>
      </c>
      <c r="CM7" s="3">
        <f>COUNTIFS(Tabela22[Sem 98],"&gt;="&amp;'Base de dados'!$L$2,Tabela22[Sem 98],"&lt;="&amp;'Base de dados'!$L$3)</f>
        <v>0</v>
      </c>
      <c r="CN7" s="3">
        <f>COUNTIFS(Tabela22[Sem 99],"&gt;="&amp;'Base de dados'!$L$2,Tabela22[Sem 99],"&lt;="&amp;'Base de dados'!$L$3)</f>
        <v>0</v>
      </c>
      <c r="CO7" s="3">
        <f>COUNTIFS(Tabela22[Sem 100],"&gt;="&amp;'Base de dados'!$L$2,Tabela22[Sem 100],"&lt;="&amp;'Base de dados'!$L$3)</f>
        <v>0</v>
      </c>
    </row>
    <row r="8" spans="1:93" ht="20.25" customHeight="1" x14ac:dyDescent="0.25">
      <c r="B8" s="12" t="s">
        <v>3</v>
      </c>
      <c r="C8" s="1" t="s">
        <v>877</v>
      </c>
      <c r="D8" s="13" t="s">
        <v>417</v>
      </c>
      <c r="E8" s="75" t="str" cm="1">
        <f t="array" aca="1" ref="E8" ca="1">IFERROR((OFFSET(G1,0,MATCH(LOOKUP(2,1/--(H12:CO12&lt;&gt;""),H12:CO12),H12:CO12,0),)),"")</f>
        <v/>
      </c>
      <c r="G8" s="19" t="s">
        <v>535</v>
      </c>
      <c r="H8" s="3">
        <f>COUNTIFS(Tabela22[Sem 15],"&gt;="&amp;'Base de dados'!$M$2,Tabela22[Sem 15],"&lt;="&amp;'Base de dados'!$M$3)</f>
        <v>0</v>
      </c>
      <c r="I8" s="3">
        <f>COUNTIFS(Tabela22[Sem 16],"&gt;="&amp;'Base de dados'!$M$2,Tabela22[Sem 16],"&lt;="&amp;'Base de dados'!$M$3)</f>
        <v>0</v>
      </c>
      <c r="J8" s="3">
        <f>COUNTIFS(Tabela22[Sem 17],"&gt;="&amp;'Base de dados'!$M$2,Tabela22[Sem 17],"&lt;="&amp;'Base de dados'!$M$3)</f>
        <v>0</v>
      </c>
      <c r="K8" s="3">
        <f>COUNTIFS(Tabela22[Sem 18],"&gt;="&amp;'Base de dados'!$M$2,Tabela22[Sem 18],"&lt;="&amp;'Base de dados'!$M$3)</f>
        <v>0</v>
      </c>
      <c r="L8" s="3">
        <f>COUNTIFS(Tabela22[Sem 19],"&gt;="&amp;'Base de dados'!$M$2,Tabela22[Sem 19],"&lt;="&amp;'Base de dados'!$M$3)</f>
        <v>0</v>
      </c>
      <c r="M8" s="3">
        <f>COUNTIFS(Tabela22[Sem 20],"&gt;="&amp;'Base de dados'!$M$2,Tabela22[Sem 20],"&lt;="&amp;'Base de dados'!$M$3)</f>
        <v>0</v>
      </c>
      <c r="N8" s="3">
        <f>COUNTIFS(Tabela22[Sem 21],"&gt;="&amp;'Base de dados'!$M$2,Tabela22[Sem 21],"&lt;="&amp;'Base de dados'!$M$3)</f>
        <v>0</v>
      </c>
      <c r="O8" s="3">
        <f>COUNTIFS(Tabela22[Sem 22],"&gt;="&amp;'Base de dados'!$M$2,Tabela22[Sem 22],"&lt;="&amp;'Base de dados'!$M$3)</f>
        <v>0</v>
      </c>
      <c r="P8" s="3">
        <f>COUNTIFS(Tabela22[Sem 23],"&gt;="&amp;'Base de dados'!$M$2,Tabela22[Sem 23],"&lt;="&amp;'Base de dados'!$M$3)</f>
        <v>0</v>
      </c>
      <c r="Q8" s="3">
        <f>COUNTIFS(Tabela22[Sem 24],"&gt;="&amp;'Base de dados'!$M$2,Tabela22[Sem 24],"&lt;="&amp;'Base de dados'!$M$3)</f>
        <v>0</v>
      </c>
      <c r="R8" s="3">
        <f>COUNTIFS(Tabela22[Sem 25],"&gt;="&amp;'Base de dados'!$M$2,Tabela22[Sem 25],"&lt;="&amp;'Base de dados'!$M$3)</f>
        <v>0</v>
      </c>
      <c r="S8" s="3">
        <f>COUNTIFS(Tabela22[Sem 26],"&gt;="&amp;'Base de dados'!$M$2,Tabela22[Sem 26],"&lt;="&amp;'Base de dados'!$M$3)</f>
        <v>0</v>
      </c>
      <c r="T8" s="3">
        <f>COUNTIFS(Tabela22[Sem 27],"&gt;="&amp;'Base de dados'!$M$2,Tabela22[Sem 27],"&lt;="&amp;'Base de dados'!$M$3)</f>
        <v>0</v>
      </c>
      <c r="U8" s="3">
        <f>COUNTIFS(Tabela22[Sem 28],"&gt;="&amp;'Base de dados'!$M$2,Tabela22[Sem 28],"&lt;="&amp;'Base de dados'!$M$3)</f>
        <v>0</v>
      </c>
      <c r="V8" s="3">
        <f>COUNTIFS(Tabela22[Sem 29],"&gt;="&amp;'Base de dados'!$M$2,Tabela22[Sem 29],"&lt;="&amp;'Base de dados'!$M$3)</f>
        <v>0</v>
      </c>
      <c r="W8" s="3">
        <f>COUNTIFS(Tabela22[Sem 30],"&gt;="&amp;'Base de dados'!$M$2,Tabela22[Sem 30],"&lt;="&amp;'Base de dados'!$M$3)</f>
        <v>0</v>
      </c>
      <c r="X8" s="3">
        <f>COUNTIFS(Tabela22[Sem 31],"&gt;="&amp;'Base de dados'!$M$2,Tabela22[Sem 31],"&lt;="&amp;'Base de dados'!$M$3)</f>
        <v>0</v>
      </c>
      <c r="Y8" s="3">
        <f>COUNTIFS(Tabela22[Sem 32],"&gt;="&amp;'Base de dados'!$M$2,Tabela22[Sem 32],"&lt;="&amp;'Base de dados'!$M$3)</f>
        <v>0</v>
      </c>
      <c r="Z8" s="3">
        <f>COUNTIFS(Tabela22[Sem 33],"&gt;="&amp;'Base de dados'!$M$2,Tabela22[Sem 33],"&lt;="&amp;'Base de dados'!$M$3)</f>
        <v>0</v>
      </c>
      <c r="AA8" s="3">
        <f>COUNTIFS(Tabela22[Sem 34],"&gt;="&amp;'Base de dados'!$M$2,Tabela22[Sem 34],"&lt;="&amp;'Base de dados'!$M$3)</f>
        <v>0</v>
      </c>
      <c r="AB8" s="3">
        <f>COUNTIFS(Tabela22[Sem 35],"&gt;="&amp;'Base de dados'!$M$2,Tabela22[Sem 35],"&lt;="&amp;'Base de dados'!$M$3)</f>
        <v>0</v>
      </c>
      <c r="AC8" s="3">
        <f>COUNTIFS(Tabela22[Sem 36],"&gt;="&amp;'Base de dados'!$M$2,Tabela22[Sem 36],"&lt;="&amp;'Base de dados'!$M$3)</f>
        <v>0</v>
      </c>
      <c r="AD8" s="3">
        <f>COUNTIFS(Tabela22[Sem 37],"&gt;="&amp;'Base de dados'!$M$2,Tabela22[Sem 37],"&lt;="&amp;'Base de dados'!$M$3)</f>
        <v>0</v>
      </c>
      <c r="AE8" s="3">
        <f>COUNTIFS(Tabela22[Sem 38],"&gt;="&amp;'Base de dados'!$M$2,Tabela22[Sem 38],"&lt;="&amp;'Base de dados'!$M$3)</f>
        <v>0</v>
      </c>
      <c r="AF8" s="3">
        <f>COUNTIFS(Tabela22[Sem 39],"&gt;="&amp;'Base de dados'!$M$2,Tabela22[Sem 39],"&lt;="&amp;'Base de dados'!$M$3)</f>
        <v>0</v>
      </c>
      <c r="AG8" s="3">
        <f>COUNTIFS(Tabela22[Sem 40],"&gt;="&amp;'Base de dados'!$M$2,Tabela22[Sem 40],"&lt;="&amp;'Base de dados'!$M$3)</f>
        <v>0</v>
      </c>
      <c r="AH8" s="3">
        <f>COUNTIFS(Tabela22[Sem 41],"&gt;="&amp;'Base de dados'!$M$2,Tabela22[Sem 41],"&lt;="&amp;'Base de dados'!$M$3)</f>
        <v>0</v>
      </c>
      <c r="AI8" s="3">
        <f>COUNTIFS(Tabela22[Sem 42],"&gt;="&amp;'Base de dados'!$M$2,Tabela22[Sem 42],"&lt;="&amp;'Base de dados'!$M$3)</f>
        <v>0</v>
      </c>
      <c r="AJ8" s="3">
        <f>COUNTIFS(Tabela22[Sem 43],"&gt;="&amp;'Base de dados'!$M$2,Tabela22[Sem 43],"&lt;="&amp;'Base de dados'!$M$3)</f>
        <v>0</v>
      </c>
      <c r="AK8" s="3">
        <f>COUNTIFS(Tabela22[Sem 44],"&gt;="&amp;'Base de dados'!$M$2,Tabela22[Sem 44],"&lt;="&amp;'Base de dados'!$M$3)</f>
        <v>0</v>
      </c>
      <c r="AL8" s="3">
        <f>COUNTIFS(Tabela22[Sem 45],"&gt;="&amp;'Base de dados'!$M$2,Tabela22[Sem 45],"&lt;="&amp;'Base de dados'!$M$3)</f>
        <v>0</v>
      </c>
      <c r="AM8" s="3">
        <f>COUNTIFS(Tabela22[Sem 46],"&gt;="&amp;'Base de dados'!$M$2,Tabela22[Sem 46],"&lt;="&amp;'Base de dados'!$M$3)</f>
        <v>0</v>
      </c>
      <c r="AN8" s="3">
        <f>COUNTIFS(Tabela22[Sem 47],"&gt;="&amp;'Base de dados'!$M$2,Tabela22[Sem 47],"&lt;="&amp;'Base de dados'!$M$3)</f>
        <v>0</v>
      </c>
      <c r="AO8" s="3">
        <f>COUNTIFS(Tabela22[Sem 48],"&gt;="&amp;'Base de dados'!$M$2,Tabela22[Sem 48],"&lt;="&amp;'Base de dados'!$M$3)</f>
        <v>0</v>
      </c>
      <c r="AP8" s="3">
        <f>COUNTIFS(Tabela22[Sem 49],"&gt;="&amp;'Base de dados'!$M$2,Tabela22[Sem 49],"&lt;="&amp;'Base de dados'!$M$3)</f>
        <v>0</v>
      </c>
      <c r="AQ8" s="3">
        <f>COUNTIFS(Tabela22[Sem 50],"&gt;="&amp;'Base de dados'!$M$2,Tabela22[Sem 50],"&lt;="&amp;'Base de dados'!$M$3)</f>
        <v>0</v>
      </c>
      <c r="AR8" s="3">
        <f>COUNTIFS(Tabela22[Sem 51],"&gt;="&amp;'Base de dados'!$M$2,Tabela22[Sem 51],"&lt;="&amp;'Base de dados'!$M$3)</f>
        <v>0</v>
      </c>
      <c r="AS8" s="3">
        <f>COUNTIFS(Tabela22[Sem 52],"&gt;="&amp;'Base de dados'!$M$2,Tabela22[Sem 52],"&lt;="&amp;'Base de dados'!$M$3)</f>
        <v>0</v>
      </c>
      <c r="AT8" s="3">
        <f>COUNTIFS(Tabela22[Sem 53],"&gt;="&amp;'Base de dados'!$M$2,Tabela22[Sem 53],"&lt;="&amp;'Base de dados'!$M$3)</f>
        <v>0</v>
      </c>
      <c r="AU8" s="3">
        <f>COUNTIFS(Tabela22[Sem 54],"&gt;="&amp;'Base de dados'!$M$2,Tabela22[Sem 54],"&lt;="&amp;'Base de dados'!$M$3)</f>
        <v>0</v>
      </c>
      <c r="AV8" s="3">
        <f>COUNTIFS(Tabela22[Sem 55],"&gt;="&amp;'Base de dados'!$M$2,Tabela22[Sem 55],"&lt;="&amp;'Base de dados'!$M$3)</f>
        <v>0</v>
      </c>
      <c r="AW8" s="3">
        <f>COUNTIFS(Tabela22[Sem 56],"&gt;="&amp;'Base de dados'!$M$2,Tabela22[Sem 56],"&lt;="&amp;'Base de dados'!$M$3)</f>
        <v>0</v>
      </c>
      <c r="AX8" s="3">
        <f>COUNTIFS(Tabela22[Sem 57],"&gt;="&amp;'Base de dados'!$M$2,Tabela22[Sem 57],"&lt;="&amp;'Base de dados'!$M$3)</f>
        <v>0</v>
      </c>
      <c r="AY8" s="3">
        <f>COUNTIFS(Tabela22[Sem 58],"&gt;="&amp;'Base de dados'!$M$2,Tabela22[Sem 58],"&lt;="&amp;'Base de dados'!$M$3)</f>
        <v>0</v>
      </c>
      <c r="AZ8" s="3">
        <f>COUNTIFS(Tabela22[Sem 59],"&gt;="&amp;'Base de dados'!$M$2,Tabela22[Sem 59],"&lt;="&amp;'Base de dados'!$M$3)</f>
        <v>0</v>
      </c>
      <c r="BA8" s="3">
        <f>COUNTIFS(Tabela22[Sem 60],"&gt;="&amp;'Base de dados'!$M$2,Tabela22[Sem 60],"&lt;="&amp;'Base de dados'!$M$3)</f>
        <v>0</v>
      </c>
      <c r="BB8" s="3">
        <f>COUNTIFS(Tabela22[Sem 61],"&gt;="&amp;'Base de dados'!$M$2,Tabela22[Sem 61],"&lt;="&amp;'Base de dados'!$M$3)</f>
        <v>0</v>
      </c>
      <c r="BC8" s="3">
        <f>COUNTIFS(Tabela22[Sem 62],"&gt;="&amp;'Base de dados'!$M$2,Tabela22[Sem 62],"&lt;="&amp;'Base de dados'!$M$3)</f>
        <v>0</v>
      </c>
      <c r="BD8" s="3">
        <f>COUNTIFS(Tabela22[Sem 63],"&gt;="&amp;'Base de dados'!$M$2,Tabela22[Sem 63],"&lt;="&amp;'Base de dados'!$M$3)</f>
        <v>0</v>
      </c>
      <c r="BE8" s="3">
        <f>COUNTIFS(Tabela22[Sem 64],"&gt;="&amp;'Base de dados'!$M$2,Tabela22[Sem 64],"&lt;="&amp;'Base de dados'!$M$3)</f>
        <v>0</v>
      </c>
      <c r="BF8" s="3">
        <f>COUNTIFS(Tabela22[Sem 65],"&gt;="&amp;'Base de dados'!$M$2,Tabela22[Sem 65],"&lt;="&amp;'Base de dados'!$M$3)</f>
        <v>0</v>
      </c>
      <c r="BG8" s="3">
        <f>COUNTIFS(Tabela22[Sem 66],"&gt;="&amp;'Base de dados'!$M$2,Tabela22[Sem 66],"&lt;="&amp;'Base de dados'!$M$3)</f>
        <v>0</v>
      </c>
      <c r="BH8" s="3">
        <f>COUNTIFS(Tabela22[Sem 67],"&gt;="&amp;'Base de dados'!$M$2,Tabela22[Sem 67],"&lt;="&amp;'Base de dados'!$M$3)</f>
        <v>0</v>
      </c>
      <c r="BI8" s="3">
        <f>COUNTIFS(Tabela22[Sem 68],"&gt;="&amp;'Base de dados'!$M$2,Tabela22[Sem 68],"&lt;="&amp;'Base de dados'!$M$3)</f>
        <v>0</v>
      </c>
      <c r="BJ8" s="3">
        <f>COUNTIFS(Tabela22[Sem 69],"&gt;="&amp;'Base de dados'!$M$2,Tabela22[Sem 69],"&lt;="&amp;'Base de dados'!$M$3)</f>
        <v>0</v>
      </c>
      <c r="BK8" s="3">
        <f>COUNTIFS(Tabela22[Sem 70],"&gt;="&amp;'Base de dados'!$M$2,Tabela22[Sem 70],"&lt;="&amp;'Base de dados'!$M$3)</f>
        <v>0</v>
      </c>
      <c r="BL8" s="3">
        <f>COUNTIFS(Tabela22[Sem 71],"&gt;="&amp;'Base de dados'!$M$2,Tabela22[Sem 71],"&lt;="&amp;'Base de dados'!$M$3)</f>
        <v>0</v>
      </c>
      <c r="BM8" s="3">
        <f>COUNTIFS(Tabela22[Sem 72],"&gt;="&amp;'Base de dados'!$M$2,Tabela22[Sem 72],"&lt;="&amp;'Base de dados'!$M$3)</f>
        <v>0</v>
      </c>
      <c r="BN8" s="3">
        <f>COUNTIFS(Tabela22[Sem 73],"&gt;="&amp;'Base de dados'!$M$2,Tabela22[Sem 73],"&lt;="&amp;'Base de dados'!$M$3)</f>
        <v>0</v>
      </c>
      <c r="BO8" s="3">
        <f>COUNTIFS(Tabela22[Sem 74],"&gt;="&amp;'Base de dados'!$M$2,Tabela22[Sem 74],"&lt;="&amp;'Base de dados'!$M$3)</f>
        <v>0</v>
      </c>
      <c r="BP8" s="3">
        <f>COUNTIFS(Tabela22[Sem 75],"&gt;="&amp;'Base de dados'!$M$2,Tabela22[Sem 75],"&lt;="&amp;'Base de dados'!$M$3)</f>
        <v>0</v>
      </c>
      <c r="BQ8" s="3">
        <f>COUNTIFS(Tabela22[Sem 76],"&gt;="&amp;'Base de dados'!$M$2,Tabela22[Sem 76],"&lt;="&amp;'Base de dados'!$M$3)</f>
        <v>0</v>
      </c>
      <c r="BR8" s="3">
        <f>COUNTIFS(Tabela22[Sem 77],"&gt;="&amp;'Base de dados'!$M$2,Tabela22[Sem 77],"&lt;="&amp;'Base de dados'!$M$3)</f>
        <v>0</v>
      </c>
      <c r="BS8" s="3">
        <f>COUNTIFS(Tabela22[Sem 78],"&gt;="&amp;'Base de dados'!$M$2,Tabela22[Sem 78],"&lt;="&amp;'Base de dados'!$M$3)</f>
        <v>0</v>
      </c>
      <c r="BT8" s="3">
        <f>COUNTIFS(Tabela22[Sem 79],"&gt;="&amp;'Base de dados'!$M$2,Tabela22[Sem 79],"&lt;="&amp;'Base de dados'!$M$3)</f>
        <v>0</v>
      </c>
      <c r="BU8" s="3">
        <f>COUNTIFS(Tabela22[Sem 80],"&gt;="&amp;'Base de dados'!$M$2,Tabela22[Sem 80],"&lt;="&amp;'Base de dados'!$M$3)</f>
        <v>0</v>
      </c>
      <c r="BV8" s="3">
        <f>COUNTIFS(Tabela22[Sem 81],"&gt;="&amp;'Base de dados'!$M$2,Tabela22[Sem 81],"&lt;="&amp;'Base de dados'!$M$3)</f>
        <v>0</v>
      </c>
      <c r="BW8" s="3">
        <f>COUNTIFS(Tabela22[Sem 82],"&gt;="&amp;'Base de dados'!$M$2,Tabela22[Sem 82],"&lt;="&amp;'Base de dados'!$M$3)</f>
        <v>0</v>
      </c>
      <c r="BX8" s="3">
        <f>COUNTIFS(Tabela22[Sem 83],"&gt;="&amp;'Base de dados'!$M$2,Tabela22[Sem 83],"&lt;="&amp;'Base de dados'!$M$3)</f>
        <v>0</v>
      </c>
      <c r="BY8" s="3">
        <f>COUNTIFS(Tabela22[Sem 84],"&gt;="&amp;'Base de dados'!$M$2,Tabela22[Sem 84],"&lt;="&amp;'Base de dados'!$M$3)</f>
        <v>0</v>
      </c>
      <c r="BZ8" s="3">
        <f>COUNTIFS(Tabela22[Sem 85],"&gt;="&amp;'Base de dados'!$M$2,Tabela22[Sem 85],"&lt;="&amp;'Base de dados'!$M$3)</f>
        <v>0</v>
      </c>
      <c r="CA8" s="3">
        <f>COUNTIFS(Tabela22[Sem 86],"&gt;="&amp;'Base de dados'!$M$2,Tabela22[Sem 86],"&lt;="&amp;'Base de dados'!$M$3)</f>
        <v>0</v>
      </c>
      <c r="CB8" s="3">
        <f>COUNTIFS(Tabela22[Sem 87],"&gt;="&amp;'Base de dados'!$M$2,Tabela22[Sem 87],"&lt;="&amp;'Base de dados'!$M$3)</f>
        <v>0</v>
      </c>
      <c r="CC8" s="3">
        <f>COUNTIFS(Tabela22[Sem 88],"&gt;="&amp;'Base de dados'!$M$2,Tabela22[Sem 88],"&lt;="&amp;'Base de dados'!$M$3)</f>
        <v>0</v>
      </c>
      <c r="CD8" s="3">
        <f>COUNTIFS(Tabela22[Sem 89],"&gt;="&amp;'Base de dados'!$M$2,Tabela22[Sem 89],"&lt;="&amp;'Base de dados'!$M$3)</f>
        <v>0</v>
      </c>
      <c r="CE8" s="3">
        <f>COUNTIFS(Tabela22[Sem 90],"&gt;="&amp;'Base de dados'!$M$2,Tabela22[Sem 90],"&lt;="&amp;'Base de dados'!$M$3)</f>
        <v>0</v>
      </c>
      <c r="CF8" s="3">
        <f>COUNTIFS(Tabela22[Sem 91],"&gt;="&amp;'Base de dados'!$M$2,Tabela22[Sem 91],"&lt;="&amp;'Base de dados'!$M$3)</f>
        <v>0</v>
      </c>
      <c r="CG8" s="3">
        <f>COUNTIFS(Tabela22[Sem 92],"&gt;="&amp;'Base de dados'!$M$2,Tabela22[Sem 92],"&lt;="&amp;'Base de dados'!$M$3)</f>
        <v>0</v>
      </c>
      <c r="CH8" s="3">
        <f>COUNTIFS(Tabela22[Sem 93],"&gt;="&amp;'Base de dados'!$M$2,Tabela22[Sem 93],"&lt;="&amp;'Base de dados'!$M$3)</f>
        <v>0</v>
      </c>
      <c r="CI8" s="3">
        <f>COUNTIFS(Tabela22[Sem 94],"&gt;="&amp;'Base de dados'!$M$2,Tabela22[Sem 94],"&lt;="&amp;'Base de dados'!$M$3)</f>
        <v>0</v>
      </c>
      <c r="CJ8" s="3">
        <f>COUNTIFS(Tabela22[Sem 95],"&gt;="&amp;'Base de dados'!$M$2,Tabela22[Sem 95],"&lt;="&amp;'Base de dados'!$M$3)</f>
        <v>0</v>
      </c>
      <c r="CK8" s="3">
        <f>COUNTIFS(Tabela22[Sem 96],"&gt;="&amp;'Base de dados'!$M$2,Tabela22[Sem 96],"&lt;="&amp;'Base de dados'!$M$3)</f>
        <v>0</v>
      </c>
      <c r="CL8" s="3">
        <f>COUNTIFS(Tabela22[Sem 97],"&gt;="&amp;'Base de dados'!$M$2,Tabela22[Sem 97],"&lt;="&amp;'Base de dados'!$M$3)</f>
        <v>0</v>
      </c>
      <c r="CM8" s="3">
        <f>COUNTIFS(Tabela22[Sem 98],"&gt;="&amp;'Base de dados'!$M$2,Tabela22[Sem 98],"&lt;="&amp;'Base de dados'!$M$3)</f>
        <v>0</v>
      </c>
      <c r="CN8" s="3">
        <f>COUNTIFS(Tabela22[Sem 99],"&gt;="&amp;'Base de dados'!$M$2,Tabela22[Sem 99],"&lt;="&amp;'Base de dados'!$M$3)</f>
        <v>0</v>
      </c>
      <c r="CO8" s="3">
        <f>COUNTIFS(Tabela22[Sem 100],"&gt;="&amp;'Base de dados'!$M$2,Tabela22[Sem 100],"&lt;="&amp;'Base de dados'!$M$3)</f>
        <v>0</v>
      </c>
    </row>
    <row r="9" spans="1:93" ht="21.75" customHeight="1" x14ac:dyDescent="0.25">
      <c r="G9" s="19" t="s">
        <v>536</v>
      </c>
      <c r="H9" s="26">
        <f>COUNTIF(Tabela22[Sem 15],"&gt;="&amp;'Base de dados'!N2)</f>
        <v>0</v>
      </c>
      <c r="I9" s="26">
        <f>COUNTIF(Tabela22[Sem 16],"&gt;="&amp;'Base de dados'!O2)</f>
        <v>0</v>
      </c>
      <c r="J9" s="26">
        <f>COUNTIF(Tabela22[Sem 17],"&gt;="&amp;'Base de dados'!P2)</f>
        <v>0</v>
      </c>
      <c r="K9" s="26">
        <f>COUNTIF(Tabela22[Sem 18],"&gt;="&amp;'Base de dados'!Q2)</f>
        <v>0</v>
      </c>
      <c r="L9" s="26">
        <f>COUNTIF(Tabela22[Sem 19],"&gt;="&amp;'Base de dados'!R2)</f>
        <v>0</v>
      </c>
      <c r="M9" s="26">
        <f>COUNTIF(Tabela22[Sem 20],"&gt;="&amp;'Base de dados'!S2)</f>
        <v>0</v>
      </c>
      <c r="N9" s="26">
        <f>COUNTIF(Tabela22[Sem 21],"&gt;="&amp;'Base de dados'!T2)</f>
        <v>0</v>
      </c>
      <c r="O9" s="26">
        <f>COUNTIF(Tabela22[Sem 22],"&gt;="&amp;'Base de dados'!U2)</f>
        <v>0</v>
      </c>
      <c r="P9" s="26">
        <f>COUNTIF(Tabela22[Sem 23],"&gt;="&amp;'Base de dados'!V2)</f>
        <v>0</v>
      </c>
      <c r="Q9" s="26">
        <f>COUNTIF(Tabela22[Sem 24],"&gt;="&amp;'Base de dados'!W2)</f>
        <v>0</v>
      </c>
      <c r="R9" s="26">
        <f>COUNTIF(Tabela22[Sem 25],"&gt;="&amp;'Base de dados'!X2)</f>
        <v>0</v>
      </c>
      <c r="S9" s="26">
        <f>COUNTIF(Tabela22[Sem 26],"&gt;="&amp;'Base de dados'!Y2)</f>
        <v>0</v>
      </c>
      <c r="T9" s="26">
        <f>COUNTIF(Tabela22[Sem 27],"&gt;="&amp;'Base de dados'!Z2)</f>
        <v>0</v>
      </c>
      <c r="U9" s="26">
        <f>COUNTIF(Tabela22[Sem 28],"&gt;="&amp;'Base de dados'!AA2)</f>
        <v>0</v>
      </c>
      <c r="V9" s="26">
        <f>COUNTIF(Tabela22[Sem 29],"&gt;="&amp;'Base de dados'!AB2)</f>
        <v>0</v>
      </c>
      <c r="W9" s="26">
        <f>COUNTIF(Tabela22[Sem 30],"&gt;="&amp;'Base de dados'!AC2)</f>
        <v>0</v>
      </c>
      <c r="X9" s="26">
        <f>COUNTIF(Tabela22[Sem 31],"&gt;="&amp;'Base de dados'!AD2)</f>
        <v>0</v>
      </c>
      <c r="Y9" s="26">
        <f>COUNTIF(Tabela22[Sem 32],"&gt;="&amp;'Base de dados'!AE2)</f>
        <v>0</v>
      </c>
      <c r="Z9" s="26">
        <f>COUNTIF(Tabela22[Sem 33],"&gt;="&amp;'Base de dados'!AF2)</f>
        <v>0</v>
      </c>
      <c r="AA9" s="26">
        <f>COUNTIF(Tabela22[Sem 34],"&gt;="&amp;'Base de dados'!AG2)</f>
        <v>0</v>
      </c>
      <c r="AB9" s="26">
        <f>COUNTIF(Tabela22[Sem 35],"&gt;="&amp;'Base de dados'!AH2)</f>
        <v>0</v>
      </c>
      <c r="AC9" s="26">
        <f>COUNTIF(Tabela22[Sem 36],"&gt;="&amp;'Base de dados'!AI2)</f>
        <v>0</v>
      </c>
      <c r="AD9" s="26">
        <f>COUNTIF(Tabela22[Sem 37],"&gt;="&amp;'Base de dados'!AJ2)</f>
        <v>0</v>
      </c>
      <c r="AE9" s="26">
        <f>COUNTIF(Tabela22[Sem 38],"&gt;="&amp;'Base de dados'!AK2)</f>
        <v>0</v>
      </c>
      <c r="AF9" s="26">
        <f>COUNTIF(Tabela22[Sem 39],"&gt;="&amp;'Base de dados'!AL2)</f>
        <v>0</v>
      </c>
      <c r="AG9" s="26">
        <f>COUNTIF(Tabela22[Sem 40],"&gt;="&amp;'Base de dados'!AM2)</f>
        <v>0</v>
      </c>
      <c r="AH9" s="26">
        <f>COUNTIF(Tabela22[Sem 41],"&gt;="&amp;'Base de dados'!AN2)</f>
        <v>0</v>
      </c>
      <c r="AI9" s="26">
        <f>COUNTIF(Tabela22[Sem 42],"&gt;="&amp;'Base de dados'!AO2)</f>
        <v>0</v>
      </c>
      <c r="AJ9" s="26">
        <f>COUNTIF(Tabela22[Sem 43],"&gt;="&amp;'Base de dados'!AP2)</f>
        <v>0</v>
      </c>
      <c r="AK9" s="26">
        <f>COUNTIF(Tabela22[Sem 44],"&gt;="&amp;'Base de dados'!AQ2)</f>
        <v>0</v>
      </c>
      <c r="AL9" s="26">
        <f>COUNTIF(Tabela22[Sem 45],"&gt;="&amp;'Base de dados'!AR2)</f>
        <v>0</v>
      </c>
      <c r="AM9" s="26">
        <f>COUNTIF(Tabela22[Sem 46],"&gt;="&amp;'Base de dados'!AS2)</f>
        <v>0</v>
      </c>
      <c r="AN9" s="26">
        <f>COUNTIF(Tabela22[Sem 47],"&gt;="&amp;'Base de dados'!AT2)</f>
        <v>0</v>
      </c>
      <c r="AO9" s="26">
        <f>COUNTIF(Tabela22[Sem 48],"&gt;="&amp;'Base de dados'!AU2)</f>
        <v>0</v>
      </c>
      <c r="AP9" s="26">
        <f>COUNTIF(Tabela22[Sem 49],"&gt;="&amp;'Base de dados'!AV2)</f>
        <v>0</v>
      </c>
      <c r="AQ9" s="26">
        <f>COUNTIF(Tabela22[Sem 50],"&gt;="&amp;'Base de dados'!AW2)</f>
        <v>0</v>
      </c>
      <c r="AR9" s="26">
        <f>COUNTIF(Tabela22[Sem 51],"&gt;="&amp;'Base de dados'!AX2)</f>
        <v>0</v>
      </c>
      <c r="AS9" s="26">
        <f>COUNTIF(Tabela22[Sem 52],"&gt;="&amp;'Base de dados'!AY2)</f>
        <v>0</v>
      </c>
      <c r="AT9" s="26">
        <f>COUNTIF(Tabela22[Sem 53],"&gt;="&amp;'Base de dados'!AZ2)</f>
        <v>0</v>
      </c>
      <c r="AU9" s="26">
        <f>COUNTIF(Tabela22[Sem 54],"&gt;="&amp;'Base de dados'!BA2)</f>
        <v>0</v>
      </c>
      <c r="AV9" s="26">
        <f>COUNTIF(Tabela22[Sem 55],"&gt;="&amp;'Base de dados'!BB2)</f>
        <v>0</v>
      </c>
      <c r="AW9" s="26">
        <f>COUNTIF(Tabela22[Sem 56],"&gt;="&amp;'Base de dados'!BC2)</f>
        <v>0</v>
      </c>
      <c r="AX9" s="26">
        <f>COUNTIF(Tabela22[Sem 57],"&gt;="&amp;'Base de dados'!BD2)</f>
        <v>0</v>
      </c>
      <c r="AY9" s="26">
        <f>COUNTIF(Tabela22[Sem 58],"&gt;="&amp;'Base de dados'!BE2)</f>
        <v>0</v>
      </c>
      <c r="AZ9" s="26">
        <f>COUNTIF(Tabela22[Sem 59],"&gt;="&amp;'Base de dados'!BF2)</f>
        <v>0</v>
      </c>
      <c r="BA9" s="26">
        <f>COUNTIF(Tabela22[Sem 60],"&gt;="&amp;'Base de dados'!BG2)</f>
        <v>0</v>
      </c>
      <c r="BB9" s="26">
        <f>COUNTIF(Tabela22[Sem 61],"&gt;="&amp;'Base de dados'!BH2)</f>
        <v>0</v>
      </c>
      <c r="BC9" s="26">
        <f>COUNTIF(Tabela22[Sem 62],"&gt;="&amp;'Base de dados'!BI2)</f>
        <v>0</v>
      </c>
      <c r="BD9" s="26">
        <f>COUNTIF(Tabela22[Sem 63],"&gt;="&amp;'Base de dados'!BJ2)</f>
        <v>0</v>
      </c>
      <c r="BE9" s="26">
        <f>COUNTIF(Tabela22[Sem 64],"&gt;="&amp;'Base de dados'!BK2)</f>
        <v>0</v>
      </c>
      <c r="BF9" s="26">
        <f>COUNTIF(Tabela22[Sem 65],"&gt;="&amp;'Base de dados'!BL2)</f>
        <v>0</v>
      </c>
      <c r="BG9" s="26">
        <f>COUNTIF(Tabela22[Sem 66],"&gt;="&amp;'Base de dados'!BM2)</f>
        <v>0</v>
      </c>
      <c r="BH9" s="26">
        <f>COUNTIF(Tabela22[Sem 67],"&gt;="&amp;'Base de dados'!BN2)</f>
        <v>0</v>
      </c>
      <c r="BI9" s="26">
        <f>COUNTIF(Tabela22[Sem 68],"&gt;="&amp;'Base de dados'!BO2)</f>
        <v>0</v>
      </c>
      <c r="BJ9" s="26">
        <f>COUNTIF(Tabela22[Sem 69],"&gt;="&amp;'Base de dados'!BP2)</f>
        <v>0</v>
      </c>
      <c r="BK9" s="26">
        <f>COUNTIF(Tabela22[Sem 70],"&gt;="&amp;'Base de dados'!BQ2)</f>
        <v>0</v>
      </c>
      <c r="BL9" s="26">
        <f>COUNTIF(Tabela22[Sem 71],"&gt;="&amp;'Base de dados'!BR2)</f>
        <v>0</v>
      </c>
      <c r="BM9" s="26">
        <f>COUNTIF(Tabela22[Sem 72],"&gt;="&amp;'Base de dados'!BS2)</f>
        <v>0</v>
      </c>
      <c r="BN9" s="26">
        <f>COUNTIF(Tabela22[Sem 73],"&gt;="&amp;'Base de dados'!BT2)</f>
        <v>0</v>
      </c>
      <c r="BO9" s="26">
        <f>COUNTIF(Tabela22[Sem 74],"&gt;="&amp;'Base de dados'!BU2)</f>
        <v>0</v>
      </c>
      <c r="BP9" s="26">
        <f>COUNTIF(Tabela22[Sem 75],"&gt;="&amp;'Base de dados'!BV2)</f>
        <v>0</v>
      </c>
      <c r="BQ9" s="26">
        <f>COUNTIF(Tabela22[Sem 76],"&gt;="&amp;'Base de dados'!BW2)</f>
        <v>0</v>
      </c>
      <c r="BR9" s="26">
        <f>COUNTIF(Tabela22[Sem 77],"&gt;="&amp;'Base de dados'!BX2)</f>
        <v>0</v>
      </c>
      <c r="BS9" s="26">
        <f>COUNTIF(Tabela22[Sem 78],"&gt;="&amp;'Base de dados'!BY2)</f>
        <v>0</v>
      </c>
      <c r="BT9" s="26">
        <f>COUNTIF(Tabela22[Sem 79],"&gt;="&amp;'Base de dados'!BZ2)</f>
        <v>0</v>
      </c>
      <c r="BU9" s="26">
        <f>COUNTIF(Tabela22[Sem 80],"&gt;="&amp;'Base de dados'!CA2)</f>
        <v>0</v>
      </c>
      <c r="BV9" s="26">
        <f>COUNTIF(Tabela22[Sem 81],"&gt;="&amp;'Base de dados'!CB2)</f>
        <v>0</v>
      </c>
      <c r="BW9" s="26">
        <f>COUNTIF(Tabela22[Sem 82],"&gt;="&amp;'Base de dados'!CC2)</f>
        <v>0</v>
      </c>
      <c r="BX9" s="26">
        <f>COUNTIF(Tabela22[Sem 83],"&gt;="&amp;'Base de dados'!CD2)</f>
        <v>0</v>
      </c>
      <c r="BY9" s="26">
        <f>COUNTIF(Tabela22[Sem 84],"&gt;="&amp;'Base de dados'!CE2)</f>
        <v>0</v>
      </c>
      <c r="BZ9" s="26">
        <f>COUNTIF(Tabela22[Sem 85],"&gt;="&amp;'Base de dados'!CF2)</f>
        <v>0</v>
      </c>
      <c r="CA9" s="26">
        <f>COUNTIF(Tabela22[Sem 86],"&gt;="&amp;'Base de dados'!CG2)</f>
        <v>0</v>
      </c>
      <c r="CB9" s="26">
        <f>COUNTIF(Tabela22[Sem 87],"&gt;="&amp;'Base de dados'!CH2)</f>
        <v>0</v>
      </c>
      <c r="CC9" s="26">
        <f>COUNTIF(Tabela22[Sem 88],"&gt;="&amp;'Base de dados'!CI2)</f>
        <v>0</v>
      </c>
      <c r="CD9" s="26">
        <f>COUNTIF(Tabela22[Sem 89],"&gt;="&amp;'Base de dados'!CJ2)</f>
        <v>0</v>
      </c>
      <c r="CE9" s="26">
        <f>COUNTIF(Tabela22[Sem 90],"&gt;="&amp;'Base de dados'!CK2)</f>
        <v>0</v>
      </c>
      <c r="CF9" s="26">
        <f>COUNTIF(Tabela22[Sem 91],"&gt;="&amp;'Base de dados'!CL2)</f>
        <v>0</v>
      </c>
      <c r="CG9" s="26">
        <f>COUNTIF(Tabela22[Sem 92],"&gt;="&amp;'Base de dados'!CM2)</f>
        <v>0</v>
      </c>
      <c r="CH9" s="26">
        <f>COUNTIF(Tabela22[Sem 93],"&gt;="&amp;'Base de dados'!CN2)</f>
        <v>0</v>
      </c>
      <c r="CI9" s="26">
        <f>COUNTIF(Tabela22[Sem 94],"&gt;="&amp;'Base de dados'!CO2)</f>
        <v>0</v>
      </c>
      <c r="CJ9" s="26">
        <f>COUNTIF(Tabela22[Sem 95],"&gt;="&amp;'Base de dados'!CP2)</f>
        <v>0</v>
      </c>
      <c r="CK9" s="26">
        <f>COUNTIF(Tabela22[Sem 96],"&gt;="&amp;'Base de dados'!CQ2)</f>
        <v>0</v>
      </c>
      <c r="CL9" s="26">
        <f>COUNTIF(Tabela22[Sem 97],"&gt;="&amp;'Base de dados'!CR2)</f>
        <v>0</v>
      </c>
      <c r="CM9" s="26">
        <f>COUNTIF(Tabela22[Sem 98],"&gt;="&amp;'Base de dados'!CS2)</f>
        <v>0</v>
      </c>
      <c r="CN9" s="26">
        <f>COUNTIF(Tabela22[Sem 99],"&gt;="&amp;'Base de dados'!CT2)</f>
        <v>0</v>
      </c>
      <c r="CO9" s="26">
        <f>COUNTIF(Tabela22[Sem 100],"&gt;="&amp;'Base de dados'!CU2)</f>
        <v>0</v>
      </c>
    </row>
    <row r="10" spans="1:93" ht="21.75" customHeight="1" x14ac:dyDescent="0.25">
      <c r="G10" s="20" t="s">
        <v>537</v>
      </c>
      <c r="H10" s="3">
        <f>COUNTA(Tabela22[Sem 15])</f>
        <v>0</v>
      </c>
      <c r="I10" s="3">
        <f>COUNTA(Tabela22[Sem 16])</f>
        <v>0</v>
      </c>
      <c r="J10" s="3">
        <f>COUNTA(Tabela22[Sem 17])</f>
        <v>0</v>
      </c>
      <c r="K10" s="3">
        <f>COUNTA(Tabela22[Sem 18])</f>
        <v>0</v>
      </c>
      <c r="L10" s="3">
        <f>COUNTA(Tabela22[Sem 19])</f>
        <v>0</v>
      </c>
      <c r="M10" s="3">
        <f>COUNTA(Tabela22[Sem 20])</f>
        <v>0</v>
      </c>
      <c r="N10" s="3">
        <f>COUNTA(Tabela22[Sem 21])</f>
        <v>0</v>
      </c>
      <c r="O10" s="3">
        <f>COUNTA(Tabela22[Sem 22])</f>
        <v>0</v>
      </c>
      <c r="P10" s="3">
        <f>COUNTA(Tabela22[Sem 23])</f>
        <v>0</v>
      </c>
      <c r="Q10" s="3">
        <f>COUNTA(Tabela22[Sem 24])</f>
        <v>0</v>
      </c>
      <c r="R10" s="3">
        <f>COUNTA(Tabela22[Sem 25])</f>
        <v>0</v>
      </c>
      <c r="S10" s="3">
        <f>COUNTA(Tabela22[Sem 26])</f>
        <v>0</v>
      </c>
      <c r="T10" s="3">
        <f>COUNTA(Tabela22[Sem 27])</f>
        <v>0</v>
      </c>
      <c r="U10" s="3">
        <f>COUNTA(Tabela22[Sem 28])</f>
        <v>0</v>
      </c>
      <c r="V10" s="3">
        <f>COUNTA(Tabela22[Sem 29])</f>
        <v>0</v>
      </c>
      <c r="W10" s="3">
        <f>COUNTA(Tabela22[Sem 30])</f>
        <v>0</v>
      </c>
      <c r="X10" s="3">
        <f>COUNTA(Tabela22[Sem 31])</f>
        <v>0</v>
      </c>
      <c r="Y10" s="3">
        <f>COUNTA(Tabela22[Sem 32])</f>
        <v>0</v>
      </c>
      <c r="Z10" s="3">
        <f>COUNTA(Tabela22[Sem 33])</f>
        <v>0</v>
      </c>
      <c r="AA10" s="3">
        <f>COUNTA(Tabela22[Sem 34])</f>
        <v>0</v>
      </c>
      <c r="AB10" s="3">
        <f>COUNTA(Tabela22[Sem 35])</f>
        <v>0</v>
      </c>
      <c r="AC10" s="3">
        <f>COUNTA(Tabela22[Sem 36])</f>
        <v>0</v>
      </c>
      <c r="AD10" s="3">
        <f>COUNTA(Tabela22[Sem 37])</f>
        <v>0</v>
      </c>
      <c r="AE10" s="3">
        <f>COUNTA(Tabela22[Sem 38])</f>
        <v>0</v>
      </c>
      <c r="AF10" s="3">
        <f>COUNTA(Tabela22[Sem 39])</f>
        <v>0</v>
      </c>
      <c r="AG10" s="3">
        <f>COUNTA(Tabela22[Sem 40])</f>
        <v>0</v>
      </c>
      <c r="AH10" s="3">
        <f>COUNTA(Tabela22[Sem 41])</f>
        <v>0</v>
      </c>
      <c r="AI10" s="3">
        <f>COUNTA(Tabela22[Sem 42])</f>
        <v>0</v>
      </c>
      <c r="AJ10" s="3">
        <f>COUNTA(Tabela22[Sem 43])</f>
        <v>0</v>
      </c>
      <c r="AK10" s="3">
        <f>COUNTA(Tabela22[Sem 44])</f>
        <v>0</v>
      </c>
      <c r="AL10" s="3">
        <f>COUNTA(Tabela22[Sem 45])</f>
        <v>0</v>
      </c>
      <c r="AM10" s="3">
        <f>COUNTA(Tabela22[Sem 46])</f>
        <v>0</v>
      </c>
      <c r="AN10" s="3">
        <f>COUNTA(Tabela22[Sem 47])</f>
        <v>0</v>
      </c>
      <c r="AO10" s="3">
        <f>COUNTA(Tabela22[Sem 48])</f>
        <v>0</v>
      </c>
      <c r="AP10" s="3">
        <f>COUNTA(Tabela22[Sem 49])</f>
        <v>0</v>
      </c>
      <c r="AQ10" s="3">
        <f>COUNTA(Tabela22[Sem 50])</f>
        <v>0</v>
      </c>
      <c r="AR10" s="3">
        <f>COUNTA(Tabela22[Sem 51])</f>
        <v>0</v>
      </c>
      <c r="AS10" s="3">
        <f>COUNTA(Tabela22[Sem 52])</f>
        <v>0</v>
      </c>
      <c r="AT10" s="3">
        <f>COUNTA(Tabela22[Sem 53])</f>
        <v>0</v>
      </c>
      <c r="AU10" s="3">
        <f>COUNTA(Tabela22[Sem 54])</f>
        <v>0</v>
      </c>
      <c r="AV10" s="3">
        <f>COUNTA(Tabela22[Sem 55])</f>
        <v>0</v>
      </c>
      <c r="AW10" s="3">
        <f>COUNTA(Tabela22[Sem 56])</f>
        <v>0</v>
      </c>
      <c r="AX10" s="3">
        <f>COUNTA(Tabela22[Sem 57])</f>
        <v>0</v>
      </c>
      <c r="AY10" s="3">
        <f>COUNTA(Tabela22[Sem 58])</f>
        <v>0</v>
      </c>
      <c r="AZ10" s="3">
        <f>COUNTA(Tabela22[Sem 59])</f>
        <v>0</v>
      </c>
      <c r="BA10" s="3">
        <f>COUNTA(Tabela22[Sem 60])</f>
        <v>0</v>
      </c>
      <c r="BB10" s="3">
        <f>COUNTA(Tabela22[Sem 61])</f>
        <v>0</v>
      </c>
      <c r="BC10" s="3">
        <f>COUNTA(Tabela22[Sem 62])</f>
        <v>0</v>
      </c>
      <c r="BD10" s="3">
        <f>COUNTA(Tabela22[Sem 63])</f>
        <v>0</v>
      </c>
      <c r="BE10" s="3">
        <f>COUNTA(Tabela22[Sem 64])</f>
        <v>0</v>
      </c>
      <c r="BF10" s="3">
        <f>COUNTA(Tabela22[Sem 65])</f>
        <v>0</v>
      </c>
      <c r="BG10" s="3">
        <f>COUNTA(Tabela22[Sem 66])</f>
        <v>0</v>
      </c>
      <c r="BH10" s="3">
        <f>COUNTA(Tabela22[Sem 67])</f>
        <v>0</v>
      </c>
      <c r="BI10" s="3">
        <f>COUNTA(Tabela22[Sem 68])</f>
        <v>0</v>
      </c>
      <c r="BJ10" s="3">
        <f>COUNTA(Tabela22[Sem 69])</f>
        <v>0</v>
      </c>
      <c r="BK10" s="3">
        <f>COUNTA(Tabela22[Sem 70])</f>
        <v>0</v>
      </c>
      <c r="BL10" s="3">
        <f>COUNTA(Tabela22[Sem 71])</f>
        <v>0</v>
      </c>
      <c r="BM10" s="3">
        <f>COUNTA(Tabela22[Sem 72])</f>
        <v>0</v>
      </c>
      <c r="BN10" s="3">
        <f>COUNTA(Tabela22[Sem 73])</f>
        <v>0</v>
      </c>
      <c r="BO10" s="3">
        <f>COUNTA(Tabela22[Sem 74])</f>
        <v>0</v>
      </c>
      <c r="BP10" s="3">
        <f>COUNTA(Tabela22[Sem 75])</f>
        <v>0</v>
      </c>
      <c r="BQ10" s="3">
        <f>COUNTA(Tabela22[Sem 76])</f>
        <v>0</v>
      </c>
      <c r="BR10" s="3">
        <f>COUNTA(Tabela22[Sem 77])</f>
        <v>0</v>
      </c>
      <c r="BS10" s="3">
        <f>COUNTA(Tabela22[Sem 78])</f>
        <v>0</v>
      </c>
      <c r="BT10" s="3">
        <f>COUNTA(Tabela22[Sem 79])</f>
        <v>0</v>
      </c>
      <c r="BU10" s="3">
        <f>COUNTA(Tabela22[Sem 80])</f>
        <v>0</v>
      </c>
      <c r="BV10" s="3">
        <f>COUNTA(Tabela22[Sem 81])</f>
        <v>0</v>
      </c>
      <c r="BW10" s="3">
        <f>COUNTA(Tabela22[Sem 82])</f>
        <v>0</v>
      </c>
      <c r="BX10" s="3">
        <f>COUNTA(Tabela22[Sem 83])</f>
        <v>0</v>
      </c>
      <c r="BY10" s="3">
        <f>COUNTA(Tabela22[Sem 84])</f>
        <v>0</v>
      </c>
      <c r="BZ10" s="3">
        <f>COUNTA(Tabela22[Sem 85])</f>
        <v>0</v>
      </c>
      <c r="CA10" s="3">
        <f>COUNTA(Tabela22[Sem 86])</f>
        <v>0</v>
      </c>
      <c r="CB10" s="3">
        <f>COUNTA(Tabela22[Sem 87])</f>
        <v>0</v>
      </c>
      <c r="CC10" s="3">
        <f>COUNTA(Tabela22[Sem 88])</f>
        <v>0</v>
      </c>
      <c r="CD10" s="3">
        <f>COUNTA(Tabela22[Sem 89])</f>
        <v>0</v>
      </c>
      <c r="CE10" s="3">
        <f>COUNTA(Tabela22[Sem 90])</f>
        <v>0</v>
      </c>
      <c r="CF10" s="3">
        <f>COUNTA(Tabela22[Sem 91])</f>
        <v>0</v>
      </c>
      <c r="CG10" s="3">
        <f>COUNTA(Tabela22[Sem 92])</f>
        <v>0</v>
      </c>
      <c r="CH10" s="3">
        <f>COUNTA(Tabela22[Sem 93])</f>
        <v>0</v>
      </c>
      <c r="CI10" s="3">
        <f>COUNTA(Tabela22[Sem 94])</f>
        <v>0</v>
      </c>
      <c r="CJ10" s="3">
        <f>COUNTA(Tabela22[Sem 95])</f>
        <v>0</v>
      </c>
      <c r="CK10" s="3">
        <f>COUNTA(Tabela22[Sem 96])</f>
        <v>0</v>
      </c>
      <c r="CL10" s="3">
        <f>COUNTA(Tabela22[Sem 97])</f>
        <v>0</v>
      </c>
      <c r="CM10" s="3">
        <f>COUNTA(Tabela22[Sem 98])</f>
        <v>0</v>
      </c>
      <c r="CN10" s="3">
        <f>COUNTA(Tabela22[Sem 99])</f>
        <v>0</v>
      </c>
      <c r="CO10" s="3">
        <f>COUNTA(Tabela22[Sem 100])</f>
        <v>0</v>
      </c>
    </row>
    <row r="11" spans="1:93" x14ac:dyDescent="0.25">
      <c r="B11" s="17"/>
      <c r="H11" s="6" t="s">
        <v>435</v>
      </c>
      <c r="I11" s="6" t="s">
        <v>436</v>
      </c>
      <c r="J11" s="6" t="s">
        <v>437</v>
      </c>
      <c r="K11" s="6" t="s">
        <v>438</v>
      </c>
      <c r="L11" s="6" t="s">
        <v>439</v>
      </c>
      <c r="M11" s="6" t="s">
        <v>440</v>
      </c>
      <c r="N11" s="6" t="s">
        <v>441</v>
      </c>
      <c r="O11" s="6" t="s">
        <v>442</v>
      </c>
      <c r="P11" s="6" t="s">
        <v>443</v>
      </c>
      <c r="Q11" s="6" t="s">
        <v>444</v>
      </c>
      <c r="R11" s="6" t="s">
        <v>445</v>
      </c>
      <c r="S11" s="6" t="s">
        <v>446</v>
      </c>
      <c r="T11" s="6" t="s">
        <v>447</v>
      </c>
      <c r="U11" s="6" t="s">
        <v>448</v>
      </c>
      <c r="V11" s="6" t="s">
        <v>449</v>
      </c>
      <c r="W11" s="6" t="s">
        <v>450</v>
      </c>
      <c r="X11" s="6" t="s">
        <v>451</v>
      </c>
      <c r="Y11" s="6" t="s">
        <v>452</v>
      </c>
      <c r="Z11" s="6" t="s">
        <v>453</v>
      </c>
      <c r="AA11" s="6" t="s">
        <v>454</v>
      </c>
      <c r="AB11" s="6" t="s">
        <v>455</v>
      </c>
      <c r="AC11" s="6" t="s">
        <v>456</v>
      </c>
      <c r="AD11" s="6" t="s">
        <v>457</v>
      </c>
      <c r="AE11" s="6" t="s">
        <v>458</v>
      </c>
      <c r="AF11" s="6" t="s">
        <v>459</v>
      </c>
      <c r="AG11" s="6" t="s">
        <v>460</v>
      </c>
      <c r="AH11" s="6" t="s">
        <v>461</v>
      </c>
      <c r="AI11" s="6" t="s">
        <v>462</v>
      </c>
      <c r="AJ11" s="6" t="s">
        <v>463</v>
      </c>
      <c r="AK11" s="6" t="s">
        <v>464</v>
      </c>
      <c r="AL11" s="6" t="s">
        <v>465</v>
      </c>
      <c r="AM11" s="6" t="s">
        <v>466</v>
      </c>
      <c r="AN11" s="6" t="s">
        <v>467</v>
      </c>
      <c r="AO11" s="6" t="s">
        <v>468</v>
      </c>
      <c r="AP11" s="6" t="s">
        <v>469</v>
      </c>
      <c r="AQ11" s="6" t="s">
        <v>470</v>
      </c>
      <c r="AR11" s="6" t="s">
        <v>471</v>
      </c>
      <c r="AS11" s="6" t="s">
        <v>472</v>
      </c>
      <c r="AT11" s="6" t="s">
        <v>473</v>
      </c>
      <c r="AU11" s="6" t="s">
        <v>474</v>
      </c>
      <c r="AV11" s="6" t="s">
        <v>475</v>
      </c>
      <c r="AW11" s="6" t="s">
        <v>476</v>
      </c>
      <c r="AX11" s="6" t="s">
        <v>477</v>
      </c>
      <c r="AY11" s="6" t="s">
        <v>478</v>
      </c>
      <c r="AZ11" s="6" t="s">
        <v>479</v>
      </c>
      <c r="BA11" s="6" t="s">
        <v>480</v>
      </c>
      <c r="BB11" s="6" t="s">
        <v>481</v>
      </c>
      <c r="BC11" s="6" t="s">
        <v>482</v>
      </c>
      <c r="BD11" s="6" t="s">
        <v>483</v>
      </c>
      <c r="BE11" s="6" t="s">
        <v>484</v>
      </c>
      <c r="BF11" s="6" t="s">
        <v>485</v>
      </c>
      <c r="BG11" s="6" t="s">
        <v>486</v>
      </c>
      <c r="BH11" s="6" t="s">
        <v>487</v>
      </c>
      <c r="BI11" s="6" t="s">
        <v>488</v>
      </c>
      <c r="BJ11" s="6" t="s">
        <v>489</v>
      </c>
      <c r="BK11" s="6" t="s">
        <v>490</v>
      </c>
      <c r="BL11" s="6" t="s">
        <v>491</v>
      </c>
      <c r="BM11" s="6" t="s">
        <v>492</v>
      </c>
      <c r="BN11" s="6" t="s">
        <v>493</v>
      </c>
      <c r="BO11" s="6" t="s">
        <v>494</v>
      </c>
      <c r="BP11" s="6" t="s">
        <v>495</v>
      </c>
      <c r="BQ11" s="6" t="s">
        <v>496</v>
      </c>
      <c r="BR11" s="6" t="s">
        <v>497</v>
      </c>
      <c r="BS11" s="6" t="s">
        <v>498</v>
      </c>
      <c r="BT11" s="6" t="s">
        <v>499</v>
      </c>
      <c r="BU11" s="6" t="s">
        <v>500</v>
      </c>
      <c r="BV11" s="6" t="s">
        <v>501</v>
      </c>
      <c r="BW11" s="6" t="s">
        <v>502</v>
      </c>
      <c r="BX11" s="6" t="s">
        <v>503</v>
      </c>
      <c r="BY11" s="6" t="s">
        <v>504</v>
      </c>
      <c r="BZ11" s="6" t="s">
        <v>505</v>
      </c>
      <c r="CA11" s="6" t="s">
        <v>506</v>
      </c>
      <c r="CB11" s="6" t="s">
        <v>507</v>
      </c>
      <c r="CC11" s="6" t="s">
        <v>508</v>
      </c>
      <c r="CD11" s="6" t="s">
        <v>509</v>
      </c>
      <c r="CE11" s="6" t="s">
        <v>510</v>
      </c>
      <c r="CF11" s="6" t="s">
        <v>511</v>
      </c>
      <c r="CG11" s="6" t="s">
        <v>512</v>
      </c>
      <c r="CH11" s="6" t="s">
        <v>513</v>
      </c>
      <c r="CI11" s="6" t="s">
        <v>514</v>
      </c>
      <c r="CJ11" s="6" t="s">
        <v>515</v>
      </c>
      <c r="CK11" s="6" t="s">
        <v>516</v>
      </c>
      <c r="CL11" s="6" t="s">
        <v>517</v>
      </c>
      <c r="CM11" s="6" t="s">
        <v>518</v>
      </c>
      <c r="CN11" s="6" t="s">
        <v>519</v>
      </c>
      <c r="CO11" s="6" t="s">
        <v>520</v>
      </c>
    </row>
    <row r="12" spans="1:93" x14ac:dyDescent="0.25">
      <c r="B12" s="17"/>
      <c r="G12" s="11" t="s">
        <v>538</v>
      </c>
      <c r="H12" s="44"/>
      <c r="I12" s="43"/>
      <c r="J12" s="44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</row>
    <row r="13" spans="1:93" x14ac:dyDescent="0.25">
      <c r="B13" s="17"/>
      <c r="G13" s="11" t="s">
        <v>539</v>
      </c>
      <c r="H13" s="44"/>
      <c r="I13" s="43"/>
      <c r="J13" s="44"/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</row>
    <row r="14" spans="1:93" x14ac:dyDescent="0.25">
      <c r="G14" s="11" t="s">
        <v>540</v>
      </c>
      <c r="H14" s="44"/>
      <c r="I14" s="43"/>
      <c r="J14" s="44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</row>
    <row r="15" spans="1:93" x14ac:dyDescent="0.25">
      <c r="G15" s="11" t="s">
        <v>541</v>
      </c>
      <c r="H15" s="44"/>
      <c r="I15" s="43"/>
      <c r="J15" s="44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</row>
    <row r="16" spans="1:93" x14ac:dyDescent="0.25">
      <c r="G16" s="11" t="s">
        <v>542</v>
      </c>
      <c r="H16" s="44"/>
      <c r="I16" s="43"/>
      <c r="J16" s="44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</row>
    <row r="17" spans="7:93" x14ac:dyDescent="0.25">
      <c r="G17" s="11" t="s">
        <v>543</v>
      </c>
      <c r="H17" s="44"/>
      <c r="I17" s="43"/>
      <c r="J17" s="44"/>
      <c r="K17" s="43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</row>
    <row r="18" spans="7:93" x14ac:dyDescent="0.25">
      <c r="G18" s="11" t="s">
        <v>544</v>
      </c>
      <c r="H18" s="44"/>
      <c r="I18" s="43"/>
      <c r="J18" s="44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</row>
    <row r="19" spans="7:93" x14ac:dyDescent="0.25">
      <c r="G19" s="11" t="s">
        <v>545</v>
      </c>
      <c r="H19" s="44"/>
      <c r="I19" s="43"/>
      <c r="J19" s="44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</row>
    <row r="20" spans="7:93" x14ac:dyDescent="0.25">
      <c r="G20" s="11" t="s">
        <v>546</v>
      </c>
      <c r="H20" s="44"/>
      <c r="I20" s="43"/>
      <c r="J20" s="44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</row>
    <row r="21" spans="7:93" x14ac:dyDescent="0.25">
      <c r="G21" s="11" t="s">
        <v>547</v>
      </c>
      <c r="H21" s="44"/>
      <c r="I21" s="43"/>
      <c r="J21" s="44"/>
      <c r="K21" s="43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</row>
    <row r="22" spans="7:93" x14ac:dyDescent="0.25">
      <c r="G22" s="11" t="s">
        <v>548</v>
      </c>
      <c r="H22" s="44"/>
      <c r="I22" s="43"/>
      <c r="J22" s="44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</row>
    <row r="23" spans="7:93" x14ac:dyDescent="0.25">
      <c r="G23" s="11" t="s">
        <v>549</v>
      </c>
      <c r="H23" s="44"/>
      <c r="I23" s="43"/>
      <c r="J23" s="44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</row>
    <row r="24" spans="7:93" x14ac:dyDescent="0.25">
      <c r="G24" s="11" t="s">
        <v>550</v>
      </c>
      <c r="H24" s="44"/>
      <c r="I24" s="43"/>
      <c r="J24" s="44"/>
      <c r="K24" s="43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</row>
    <row r="25" spans="7:93" x14ac:dyDescent="0.25">
      <c r="G25" s="11" t="s">
        <v>551</v>
      </c>
      <c r="H25" s="44"/>
      <c r="I25" s="43"/>
      <c r="J25" s="44"/>
      <c r="K25" s="43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</row>
    <row r="26" spans="7:93" x14ac:dyDescent="0.25">
      <c r="G26" s="11" t="s">
        <v>552</v>
      </c>
      <c r="H26" s="44"/>
      <c r="I26" s="43"/>
      <c r="J26" s="44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</row>
    <row r="27" spans="7:93" x14ac:dyDescent="0.25">
      <c r="G27" s="11" t="s">
        <v>553</v>
      </c>
      <c r="H27" s="44"/>
      <c r="I27" s="43"/>
      <c r="J27" s="44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</row>
    <row r="28" spans="7:93" x14ac:dyDescent="0.25">
      <c r="G28" s="11" t="s">
        <v>554</v>
      </c>
      <c r="H28" s="44"/>
      <c r="I28" s="43"/>
      <c r="J28" s="44"/>
      <c r="K28" s="43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</row>
    <row r="29" spans="7:93" x14ac:dyDescent="0.25">
      <c r="G29" s="11" t="s">
        <v>555</v>
      </c>
      <c r="H29" s="44"/>
      <c r="I29" s="43"/>
      <c r="J29" s="44"/>
      <c r="K29" s="43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</row>
    <row r="30" spans="7:93" x14ac:dyDescent="0.25">
      <c r="G30" s="11" t="s">
        <v>556</v>
      </c>
      <c r="H30" s="44"/>
      <c r="I30" s="43"/>
      <c r="J30" s="44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</row>
    <row r="31" spans="7:93" x14ac:dyDescent="0.25">
      <c r="G31" s="11" t="s">
        <v>557</v>
      </c>
      <c r="H31" s="44"/>
      <c r="I31" s="43"/>
      <c r="J31" s="44"/>
      <c r="K31" s="43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</row>
    <row r="32" spans="7:93" x14ac:dyDescent="0.25">
      <c r="G32" s="11" t="s">
        <v>558</v>
      </c>
      <c r="H32" s="44"/>
      <c r="I32" s="43"/>
      <c r="J32" s="44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</row>
    <row r="33" spans="7:93" x14ac:dyDescent="0.25">
      <c r="G33" s="11" t="s">
        <v>559</v>
      </c>
      <c r="H33" s="44"/>
      <c r="I33" s="43"/>
      <c r="J33" s="44"/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</row>
    <row r="34" spans="7:93" x14ac:dyDescent="0.25">
      <c r="G34" s="11" t="s">
        <v>560</v>
      </c>
      <c r="H34" s="44"/>
      <c r="I34" s="43"/>
      <c r="J34" s="44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</row>
    <row r="35" spans="7:93" x14ac:dyDescent="0.25">
      <c r="G35" s="11" t="s">
        <v>561</v>
      </c>
      <c r="H35" s="44"/>
      <c r="I35" s="43"/>
      <c r="J35" s="44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</row>
    <row r="36" spans="7:93" x14ac:dyDescent="0.25">
      <c r="G36" s="11" t="s">
        <v>562</v>
      </c>
      <c r="H36" s="44"/>
      <c r="I36" s="43"/>
      <c r="J36" s="44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</row>
    <row r="37" spans="7:93" x14ac:dyDescent="0.25">
      <c r="G37" s="11" t="s">
        <v>563</v>
      </c>
      <c r="H37" s="44"/>
      <c r="I37" s="43"/>
      <c r="J37" s="44"/>
      <c r="K37" s="4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</row>
    <row r="38" spans="7:93" x14ac:dyDescent="0.25">
      <c r="G38" s="11" t="s">
        <v>564</v>
      </c>
      <c r="H38" s="44"/>
      <c r="I38" s="43"/>
      <c r="J38" s="44"/>
      <c r="K38" s="43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</row>
    <row r="39" spans="7:93" x14ac:dyDescent="0.25">
      <c r="G39" s="11" t="s">
        <v>565</v>
      </c>
      <c r="H39" s="44"/>
      <c r="I39" s="43"/>
      <c r="J39" s="44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</row>
    <row r="40" spans="7:93" x14ac:dyDescent="0.25">
      <c r="G40" s="11" t="s">
        <v>566</v>
      </c>
      <c r="H40" s="44"/>
      <c r="I40" s="43"/>
      <c r="J40" s="44"/>
      <c r="K40" s="43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</row>
    <row r="41" spans="7:93" x14ac:dyDescent="0.25">
      <c r="G41" s="11" t="s">
        <v>567</v>
      </c>
      <c r="H41" s="44"/>
      <c r="I41" s="43"/>
      <c r="J41" s="44"/>
      <c r="K41" s="43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</row>
    <row r="42" spans="7:93" x14ac:dyDescent="0.25">
      <c r="G42" s="11" t="s">
        <v>568</v>
      </c>
      <c r="H42" s="44"/>
      <c r="I42" s="43"/>
      <c r="J42" s="44"/>
      <c r="K42" s="43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</row>
    <row r="43" spans="7:93" x14ac:dyDescent="0.25">
      <c r="G43" s="11" t="s">
        <v>569</v>
      </c>
      <c r="H43" s="44"/>
      <c r="I43" s="43"/>
      <c r="J43" s="44"/>
      <c r="K43" s="43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</row>
    <row r="44" spans="7:93" x14ac:dyDescent="0.25">
      <c r="G44" s="11" t="s">
        <v>570</v>
      </c>
      <c r="H44" s="44"/>
      <c r="I44" s="43"/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</row>
    <row r="45" spans="7:93" x14ac:dyDescent="0.25">
      <c r="G45" s="11" t="s">
        <v>571</v>
      </c>
      <c r="H45" s="44"/>
      <c r="I45" s="43"/>
      <c r="J45" s="44"/>
      <c r="K45" s="43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</row>
    <row r="46" spans="7:93" x14ac:dyDescent="0.25">
      <c r="G46" s="11" t="s">
        <v>572</v>
      </c>
      <c r="H46" s="44"/>
      <c r="I46" s="43"/>
      <c r="J46" s="44"/>
      <c r="K46" s="43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</row>
    <row r="47" spans="7:93" x14ac:dyDescent="0.25">
      <c r="G47" s="11" t="s">
        <v>573</v>
      </c>
      <c r="H47" s="44"/>
      <c r="I47" s="43"/>
      <c r="J47" s="44"/>
      <c r="K47" s="43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</row>
    <row r="48" spans="7:93" x14ac:dyDescent="0.25">
      <c r="G48" s="11" t="s">
        <v>574</v>
      </c>
      <c r="H48" s="44"/>
      <c r="I48" s="43"/>
      <c r="J48" s="44"/>
      <c r="K48" s="43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</row>
    <row r="49" spans="7:93" x14ac:dyDescent="0.25">
      <c r="G49" s="11" t="s">
        <v>575</v>
      </c>
      <c r="H49" s="44"/>
      <c r="I49" s="43"/>
      <c r="J49" s="44"/>
      <c r="K49" s="43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</row>
    <row r="50" spans="7:93" x14ac:dyDescent="0.25">
      <c r="G50" s="11" t="s">
        <v>576</v>
      </c>
      <c r="H50" s="44"/>
      <c r="I50" s="43"/>
      <c r="J50" s="44"/>
      <c r="K50" s="43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</row>
    <row r="51" spans="7:93" x14ac:dyDescent="0.25">
      <c r="G51" s="11" t="s">
        <v>577</v>
      </c>
      <c r="H51" s="44"/>
      <c r="I51" s="43"/>
      <c r="J51" s="44"/>
      <c r="K51" s="43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</row>
    <row r="52" spans="7:93" x14ac:dyDescent="0.25">
      <c r="G52" s="11" t="s">
        <v>578</v>
      </c>
      <c r="H52" s="44"/>
      <c r="I52" s="43"/>
      <c r="J52" s="44"/>
      <c r="K52" s="43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</row>
    <row r="53" spans="7:93" x14ac:dyDescent="0.25">
      <c r="G53" s="11" t="s">
        <v>579</v>
      </c>
      <c r="H53" s="44"/>
      <c r="I53" s="43"/>
      <c r="J53" s="44"/>
      <c r="K53" s="43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</row>
    <row r="54" spans="7:93" x14ac:dyDescent="0.25">
      <c r="G54" s="11" t="s">
        <v>580</v>
      </c>
      <c r="H54" s="44"/>
      <c r="I54" s="43"/>
      <c r="J54" s="44"/>
      <c r="K54" s="43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</row>
    <row r="55" spans="7:93" x14ac:dyDescent="0.25">
      <c r="G55" s="11" t="s">
        <v>581</v>
      </c>
      <c r="H55" s="44"/>
      <c r="I55" s="43"/>
      <c r="J55" s="44"/>
      <c r="K55" s="43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</row>
    <row r="56" spans="7:93" x14ac:dyDescent="0.25">
      <c r="G56" s="11" t="s">
        <v>582</v>
      </c>
      <c r="H56" s="44"/>
      <c r="I56" s="43"/>
      <c r="J56" s="44"/>
      <c r="K56" s="43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</row>
    <row r="57" spans="7:93" x14ac:dyDescent="0.25">
      <c r="G57" s="11" t="s">
        <v>583</v>
      </c>
      <c r="H57" s="44"/>
      <c r="I57" s="43"/>
      <c r="J57" s="44"/>
      <c r="K57" s="43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</row>
    <row r="58" spans="7:93" x14ac:dyDescent="0.25">
      <c r="G58" s="11" t="s">
        <v>584</v>
      </c>
      <c r="H58" s="44"/>
      <c r="I58" s="43"/>
      <c r="J58" s="44"/>
      <c r="K58" s="43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</row>
    <row r="59" spans="7:93" x14ac:dyDescent="0.25">
      <c r="G59" s="11" t="s">
        <v>585</v>
      </c>
      <c r="H59" s="44"/>
      <c r="I59" s="43"/>
      <c r="J59" s="44"/>
      <c r="K59" s="43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</row>
    <row r="60" spans="7:93" x14ac:dyDescent="0.25">
      <c r="G60" s="11" t="s">
        <v>586</v>
      </c>
      <c r="H60" s="44"/>
      <c r="I60" s="43"/>
      <c r="J60" s="44"/>
      <c r="K60" s="43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</row>
    <row r="61" spans="7:93" x14ac:dyDescent="0.25">
      <c r="G61" s="11" t="s">
        <v>587</v>
      </c>
      <c r="H61" s="44"/>
      <c r="I61" s="43"/>
      <c r="J61" s="44"/>
      <c r="K61" s="43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</row>
    <row r="62" spans="7:93" x14ac:dyDescent="0.25">
      <c r="G62" s="11" t="s">
        <v>588</v>
      </c>
      <c r="H62" s="44"/>
      <c r="I62" s="43"/>
      <c r="J62" s="44"/>
      <c r="K62" s="43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</row>
    <row r="63" spans="7:93" x14ac:dyDescent="0.25">
      <c r="G63" s="11" t="s">
        <v>589</v>
      </c>
      <c r="H63" s="44"/>
      <c r="I63" s="43"/>
      <c r="J63" s="44"/>
      <c r="K63" s="43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</row>
    <row r="64" spans="7:93" x14ac:dyDescent="0.25">
      <c r="G64" s="11" t="s">
        <v>590</v>
      </c>
      <c r="H64" s="44"/>
      <c r="I64" s="43"/>
      <c r="J64" s="44"/>
      <c r="K64" s="43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</row>
    <row r="65" spans="7:93" x14ac:dyDescent="0.25">
      <c r="G65" s="11" t="s">
        <v>591</v>
      </c>
      <c r="H65" s="44"/>
      <c r="I65" s="43"/>
      <c r="J65" s="44"/>
      <c r="K65" s="43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</row>
    <row r="66" spans="7:93" x14ac:dyDescent="0.25">
      <c r="G66" s="11" t="s">
        <v>592</v>
      </c>
      <c r="H66" s="44"/>
      <c r="I66" s="43"/>
      <c r="J66" s="44"/>
      <c r="K66" s="43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</row>
    <row r="67" spans="7:93" x14ac:dyDescent="0.25">
      <c r="G67" s="11" t="s">
        <v>593</v>
      </c>
      <c r="H67" s="44"/>
      <c r="I67" s="43"/>
      <c r="J67" s="44"/>
      <c r="K67" s="43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</row>
    <row r="68" spans="7:93" x14ac:dyDescent="0.25">
      <c r="G68" s="11" t="s">
        <v>594</v>
      </c>
      <c r="H68" s="44"/>
      <c r="I68" s="43"/>
      <c r="J68" s="44"/>
      <c r="K68" s="43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</row>
    <row r="69" spans="7:93" x14ac:dyDescent="0.25">
      <c r="G69" s="11" t="s">
        <v>595</v>
      </c>
      <c r="H69" s="44"/>
      <c r="I69" s="43"/>
      <c r="J69" s="44"/>
      <c r="K69" s="43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</row>
    <row r="70" spans="7:93" x14ac:dyDescent="0.25">
      <c r="G70" s="11" t="s">
        <v>596</v>
      </c>
      <c r="H70" s="44"/>
      <c r="I70" s="43"/>
      <c r="J70" s="44"/>
      <c r="K70" s="43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</row>
    <row r="71" spans="7:93" x14ac:dyDescent="0.25">
      <c r="G71" s="11" t="s">
        <v>597</v>
      </c>
      <c r="H71" s="44"/>
      <c r="I71" s="43"/>
      <c r="J71" s="44"/>
      <c r="K71" s="43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</row>
    <row r="72" spans="7:93" x14ac:dyDescent="0.25">
      <c r="G72" s="11" t="s">
        <v>598</v>
      </c>
      <c r="H72" s="44"/>
      <c r="I72" s="43"/>
      <c r="J72" s="44"/>
      <c r="K72" s="43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</row>
    <row r="73" spans="7:93" x14ac:dyDescent="0.25">
      <c r="G73" s="11" t="s">
        <v>599</v>
      </c>
      <c r="H73" s="44"/>
      <c r="I73" s="43"/>
      <c r="J73" s="44"/>
      <c r="K73" s="43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</row>
    <row r="74" spans="7:93" x14ac:dyDescent="0.25">
      <c r="G74" s="11" t="s">
        <v>600</v>
      </c>
      <c r="H74" s="44"/>
      <c r="I74" s="43"/>
      <c r="J74" s="44"/>
      <c r="K74" s="43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</row>
    <row r="75" spans="7:93" x14ac:dyDescent="0.25">
      <c r="G75" s="11" t="s">
        <v>601</v>
      </c>
      <c r="H75" s="44"/>
      <c r="I75" s="43"/>
      <c r="J75" s="44"/>
      <c r="K75" s="43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</row>
    <row r="76" spans="7:93" x14ac:dyDescent="0.25">
      <c r="G76" s="11" t="s">
        <v>602</v>
      </c>
      <c r="H76" s="44"/>
      <c r="I76" s="43"/>
      <c r="J76" s="44"/>
      <c r="K76" s="43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</row>
    <row r="77" spans="7:93" x14ac:dyDescent="0.25">
      <c r="G77" s="11" t="s">
        <v>603</v>
      </c>
      <c r="H77" s="44"/>
      <c r="I77" s="43"/>
      <c r="J77" s="44"/>
      <c r="K77" s="43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</row>
    <row r="78" spans="7:93" x14ac:dyDescent="0.25">
      <c r="G78" s="11" t="s">
        <v>604</v>
      </c>
      <c r="H78" s="44"/>
      <c r="I78" s="43"/>
      <c r="J78" s="44"/>
      <c r="K78" s="43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</row>
    <row r="79" spans="7:93" x14ac:dyDescent="0.25">
      <c r="G79" s="11" t="s">
        <v>605</v>
      </c>
      <c r="H79" s="44"/>
      <c r="I79" s="43"/>
      <c r="J79" s="44"/>
      <c r="K79" s="43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</row>
    <row r="80" spans="7:93" x14ac:dyDescent="0.25">
      <c r="G80" s="11" t="s">
        <v>606</v>
      </c>
      <c r="H80" s="44"/>
      <c r="I80" s="43"/>
      <c r="J80" s="44"/>
      <c r="K80" s="43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</row>
    <row r="81" spans="7:93" x14ac:dyDescent="0.25">
      <c r="G81" s="11" t="s">
        <v>607</v>
      </c>
      <c r="H81" s="44"/>
      <c r="I81" s="43"/>
      <c r="J81" s="44"/>
      <c r="K81" s="43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</row>
    <row r="82" spans="7:93" x14ac:dyDescent="0.25">
      <c r="G82" s="11" t="s">
        <v>608</v>
      </c>
      <c r="H82" s="44"/>
      <c r="I82" s="43"/>
      <c r="J82" s="44"/>
      <c r="K82" s="43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</row>
    <row r="83" spans="7:93" x14ac:dyDescent="0.25">
      <c r="G83" s="11" t="s">
        <v>609</v>
      </c>
      <c r="H83" s="44"/>
      <c r="I83" s="43"/>
      <c r="J83" s="44"/>
      <c r="K83" s="43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</row>
    <row r="84" spans="7:93" x14ac:dyDescent="0.25">
      <c r="G84" s="11" t="s">
        <v>610</v>
      </c>
      <c r="H84" s="44"/>
      <c r="I84" s="43"/>
      <c r="J84" s="44"/>
      <c r="K84" s="43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</row>
    <row r="85" spans="7:93" x14ac:dyDescent="0.25">
      <c r="G85" s="11" t="s">
        <v>611</v>
      </c>
      <c r="H85" s="44"/>
      <c r="I85" s="43"/>
      <c r="J85" s="44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</row>
    <row r="86" spans="7:93" x14ac:dyDescent="0.25">
      <c r="G86" s="11" t="s">
        <v>612</v>
      </c>
      <c r="H86" s="44"/>
      <c r="I86" s="43"/>
      <c r="J86" s="44"/>
      <c r="K86" s="43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</row>
    <row r="87" spans="7:93" x14ac:dyDescent="0.25">
      <c r="G87" s="11" t="s">
        <v>613</v>
      </c>
      <c r="H87" s="44"/>
      <c r="I87" s="43"/>
      <c r="J87" s="44"/>
      <c r="K87" s="43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</row>
    <row r="88" spans="7:93" x14ac:dyDescent="0.25">
      <c r="G88" s="11" t="s">
        <v>614</v>
      </c>
      <c r="H88" s="44"/>
      <c r="I88" s="43"/>
      <c r="J88" s="44"/>
      <c r="K88" s="43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</row>
    <row r="89" spans="7:93" x14ac:dyDescent="0.25">
      <c r="G89" s="11" t="s">
        <v>615</v>
      </c>
      <c r="H89" s="44"/>
      <c r="I89" s="43"/>
      <c r="J89" s="44"/>
      <c r="K89" s="43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</row>
    <row r="90" spans="7:93" x14ac:dyDescent="0.25">
      <c r="G90" s="11" t="s">
        <v>616</v>
      </c>
      <c r="H90" s="44"/>
      <c r="I90" s="43"/>
      <c r="J90" s="44"/>
      <c r="K90" s="43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</row>
    <row r="91" spans="7:93" x14ac:dyDescent="0.25">
      <c r="G91" s="11" t="s">
        <v>617</v>
      </c>
      <c r="H91" s="44"/>
      <c r="I91" s="43"/>
      <c r="J91" s="44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</row>
    <row r="92" spans="7:93" x14ac:dyDescent="0.25">
      <c r="G92" s="11" t="s">
        <v>618</v>
      </c>
      <c r="H92" s="44"/>
      <c r="I92" s="43"/>
      <c r="J92" s="44"/>
      <c r="K92" s="43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</row>
    <row r="93" spans="7:93" x14ac:dyDescent="0.25">
      <c r="G93" s="11" t="s">
        <v>619</v>
      </c>
      <c r="H93" s="44"/>
      <c r="I93" s="43"/>
      <c r="J93" s="44"/>
      <c r="K93" s="43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</row>
    <row r="94" spans="7:93" x14ac:dyDescent="0.25">
      <c r="G94" s="11" t="s">
        <v>620</v>
      </c>
      <c r="H94" s="44"/>
      <c r="I94" s="43"/>
      <c r="J94" s="44"/>
      <c r="K94" s="43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</row>
    <row r="95" spans="7:93" x14ac:dyDescent="0.25">
      <c r="G95" s="11" t="s">
        <v>621</v>
      </c>
      <c r="H95" s="44"/>
      <c r="I95" s="43"/>
      <c r="J95" s="44"/>
      <c r="K95" s="43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</row>
    <row r="96" spans="7:93" x14ac:dyDescent="0.25">
      <c r="G96" s="11" t="s">
        <v>622</v>
      </c>
      <c r="H96" s="44"/>
      <c r="I96" s="43"/>
      <c r="J96" s="44"/>
      <c r="K96" s="43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</row>
    <row r="97" spans="7:93" x14ac:dyDescent="0.25">
      <c r="G97" s="11" t="s">
        <v>623</v>
      </c>
      <c r="H97" s="44"/>
      <c r="I97" s="43"/>
      <c r="J97" s="44"/>
      <c r="K97" s="43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</row>
    <row r="98" spans="7:93" x14ac:dyDescent="0.25">
      <c r="G98" s="11" t="s">
        <v>624</v>
      </c>
      <c r="H98" s="44"/>
      <c r="I98" s="43"/>
      <c r="J98" s="44"/>
      <c r="K98" s="43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</row>
    <row r="99" spans="7:93" x14ac:dyDescent="0.25">
      <c r="G99" s="11" t="s">
        <v>625</v>
      </c>
      <c r="H99" s="44"/>
      <c r="I99" s="43"/>
      <c r="J99" s="44"/>
      <c r="K99" s="43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</row>
    <row r="100" spans="7:93" x14ac:dyDescent="0.25">
      <c r="G100" s="11" t="s">
        <v>626</v>
      </c>
      <c r="H100" s="44"/>
      <c r="I100" s="43"/>
      <c r="J100" s="44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</row>
    <row r="101" spans="7:93" x14ac:dyDescent="0.25">
      <c r="G101" s="11" t="s">
        <v>627</v>
      </c>
      <c r="H101" s="44"/>
      <c r="I101" s="43"/>
      <c r="J101" s="44"/>
      <c r="K101" s="43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</row>
    <row r="102" spans="7:93" x14ac:dyDescent="0.25">
      <c r="G102" s="11" t="s">
        <v>628</v>
      </c>
      <c r="H102" s="44"/>
      <c r="I102" s="43"/>
      <c r="J102" s="44"/>
      <c r="K102" s="43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</row>
    <row r="103" spans="7:93" x14ac:dyDescent="0.25">
      <c r="G103" s="11" t="s">
        <v>629</v>
      </c>
      <c r="H103" s="44"/>
      <c r="I103" s="43"/>
      <c r="J103" s="44"/>
      <c r="K103" s="43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</row>
    <row r="104" spans="7:93" x14ac:dyDescent="0.25">
      <c r="G104" s="11" t="s">
        <v>630</v>
      </c>
      <c r="H104" s="44"/>
      <c r="I104" s="43"/>
      <c r="J104" s="44"/>
      <c r="K104" s="43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</row>
    <row r="105" spans="7:93" x14ac:dyDescent="0.25">
      <c r="G105" s="11" t="s">
        <v>631</v>
      </c>
      <c r="H105" s="44"/>
      <c r="I105" s="43"/>
      <c r="J105" s="44"/>
      <c r="K105" s="43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</row>
    <row r="106" spans="7:93" x14ac:dyDescent="0.25">
      <c r="G106" s="11" t="s">
        <v>632</v>
      </c>
      <c r="H106" s="44"/>
      <c r="I106" s="43"/>
      <c r="J106" s="44"/>
      <c r="K106" s="43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</row>
    <row r="107" spans="7:93" x14ac:dyDescent="0.25">
      <c r="G107" s="11" t="s">
        <v>633</v>
      </c>
      <c r="H107" s="44"/>
      <c r="I107" s="43"/>
      <c r="J107" s="44"/>
      <c r="K107" s="43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</row>
    <row r="108" spans="7:93" x14ac:dyDescent="0.25">
      <c r="G108" s="11" t="s">
        <v>634</v>
      </c>
      <c r="H108" s="44"/>
      <c r="I108" s="43"/>
      <c r="J108" s="44"/>
      <c r="K108" s="43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</row>
    <row r="109" spans="7:93" x14ac:dyDescent="0.25">
      <c r="G109" s="11" t="s">
        <v>635</v>
      </c>
      <c r="H109" s="44"/>
      <c r="I109" s="43"/>
      <c r="J109" s="44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</row>
    <row r="110" spans="7:93" x14ac:dyDescent="0.25">
      <c r="G110" s="11" t="s">
        <v>636</v>
      </c>
      <c r="H110" s="44"/>
      <c r="I110" s="43"/>
      <c r="J110" s="44"/>
      <c r="K110" s="43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</row>
    <row r="111" spans="7:93" x14ac:dyDescent="0.25">
      <c r="G111" s="11" t="s">
        <v>637</v>
      </c>
      <c r="H111" s="44"/>
      <c r="I111" s="43"/>
      <c r="J111" s="44"/>
      <c r="K111" s="43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</row>
    <row r="112" spans="7:93" x14ac:dyDescent="0.25">
      <c r="G112" s="11" t="s">
        <v>638</v>
      </c>
      <c r="H112" s="44"/>
      <c r="I112" s="43"/>
      <c r="J112" s="44"/>
      <c r="K112" s="43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</row>
    <row r="113" spans="7:93" x14ac:dyDescent="0.25">
      <c r="G113" s="11" t="s">
        <v>639</v>
      </c>
      <c r="H113" s="44"/>
      <c r="I113" s="43"/>
      <c r="J113" s="44"/>
      <c r="K113" s="43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</row>
    <row r="114" spans="7:93" x14ac:dyDescent="0.25">
      <c r="G114" s="11" t="s">
        <v>640</v>
      </c>
      <c r="H114" s="44"/>
      <c r="I114" s="43"/>
      <c r="J114" s="44"/>
      <c r="K114" s="43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</row>
    <row r="115" spans="7:93" x14ac:dyDescent="0.25">
      <c r="G115" s="11" t="s">
        <v>641</v>
      </c>
      <c r="H115" s="44"/>
      <c r="I115" s="43"/>
      <c r="J115" s="44"/>
      <c r="K115" s="43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</row>
    <row r="116" spans="7:93" x14ac:dyDescent="0.25">
      <c r="G116" s="11" t="s">
        <v>642</v>
      </c>
      <c r="H116" s="44"/>
      <c r="I116" s="43"/>
      <c r="J116" s="44"/>
      <c r="K116" s="43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</row>
    <row r="117" spans="7:93" x14ac:dyDescent="0.25">
      <c r="G117" s="11" t="s">
        <v>643</v>
      </c>
      <c r="H117" s="44"/>
      <c r="I117" s="43"/>
      <c r="J117" s="44"/>
      <c r="K117" s="43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</row>
    <row r="118" spans="7:93" x14ac:dyDescent="0.25">
      <c r="G118" s="11" t="s">
        <v>644</v>
      </c>
      <c r="H118" s="44"/>
      <c r="I118" s="43"/>
      <c r="J118" s="44"/>
      <c r="K118" s="43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</row>
    <row r="119" spans="7:93" x14ac:dyDescent="0.25">
      <c r="G119" s="11" t="s">
        <v>645</v>
      </c>
      <c r="H119" s="44"/>
      <c r="I119" s="43"/>
      <c r="J119" s="44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</row>
    <row r="120" spans="7:93" x14ac:dyDescent="0.25">
      <c r="G120" s="11" t="s">
        <v>646</v>
      </c>
      <c r="H120" s="44"/>
      <c r="I120" s="43"/>
      <c r="J120" s="44"/>
      <c r="K120" s="43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</row>
    <row r="121" spans="7:93" x14ac:dyDescent="0.25">
      <c r="G121" s="11" t="s">
        <v>647</v>
      </c>
      <c r="H121" s="44"/>
      <c r="I121" s="43"/>
      <c r="J121" s="44"/>
      <c r="K121" s="43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</row>
    <row r="122" spans="7:93" x14ac:dyDescent="0.25">
      <c r="G122" s="11" t="s">
        <v>648</v>
      </c>
      <c r="H122" s="44"/>
      <c r="I122" s="43"/>
      <c r="J122" s="44"/>
      <c r="K122" s="43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</row>
    <row r="123" spans="7:93" x14ac:dyDescent="0.25">
      <c r="G123" s="11" t="s">
        <v>649</v>
      </c>
      <c r="H123" s="44"/>
      <c r="I123" s="43"/>
      <c r="J123" s="44"/>
      <c r="K123" s="43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</row>
    <row r="124" spans="7:93" x14ac:dyDescent="0.25">
      <c r="G124" s="11" t="s">
        <v>650</v>
      </c>
      <c r="H124" s="44"/>
      <c r="I124" s="43"/>
      <c r="J124" s="44"/>
      <c r="K124" s="43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</row>
    <row r="125" spans="7:93" x14ac:dyDescent="0.25">
      <c r="G125" s="11" t="s">
        <v>651</v>
      </c>
      <c r="H125" s="44"/>
      <c r="I125" s="43"/>
      <c r="J125" s="44"/>
      <c r="K125" s="43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</row>
    <row r="126" spans="7:93" x14ac:dyDescent="0.25">
      <c r="G126" s="11" t="s">
        <v>652</v>
      </c>
      <c r="H126" s="44"/>
      <c r="I126" s="43"/>
      <c r="J126" s="44"/>
      <c r="K126" s="43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</row>
    <row r="127" spans="7:93" x14ac:dyDescent="0.25">
      <c r="G127" s="11" t="s">
        <v>653</v>
      </c>
      <c r="H127" s="44"/>
      <c r="I127" s="43"/>
      <c r="J127" s="44"/>
      <c r="K127" s="43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</row>
    <row r="128" spans="7:93" x14ac:dyDescent="0.25">
      <c r="G128" s="11" t="s">
        <v>654</v>
      </c>
      <c r="H128" s="44"/>
      <c r="I128" s="43"/>
      <c r="J128" s="44"/>
      <c r="K128" s="43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</row>
    <row r="129" spans="7:93" x14ac:dyDescent="0.25">
      <c r="G129" s="11" t="s">
        <v>655</v>
      </c>
      <c r="H129" s="44"/>
      <c r="I129" s="43"/>
      <c r="J129" s="44"/>
      <c r="K129" s="43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</row>
    <row r="130" spans="7:93" x14ac:dyDescent="0.25">
      <c r="G130" s="11" t="s">
        <v>656</v>
      </c>
      <c r="H130" s="44"/>
      <c r="I130" s="43"/>
      <c r="J130" s="44"/>
      <c r="K130" s="43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</row>
    <row r="131" spans="7:93" x14ac:dyDescent="0.25">
      <c r="G131" s="11" t="s">
        <v>657</v>
      </c>
      <c r="H131" s="44"/>
      <c r="I131" s="43"/>
      <c r="J131" s="44"/>
      <c r="K131" s="43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</row>
    <row r="132" spans="7:93" x14ac:dyDescent="0.25">
      <c r="G132" s="11" t="s">
        <v>658</v>
      </c>
      <c r="H132" s="44"/>
      <c r="I132" s="43"/>
      <c r="J132" s="44"/>
      <c r="K132" s="43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</row>
    <row r="133" spans="7:93" x14ac:dyDescent="0.25">
      <c r="G133" s="11" t="s">
        <v>659</v>
      </c>
      <c r="H133" s="44"/>
      <c r="I133" s="43"/>
      <c r="J133" s="44"/>
      <c r="K133" s="43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</row>
    <row r="134" spans="7:93" x14ac:dyDescent="0.25">
      <c r="G134" s="11" t="s">
        <v>660</v>
      </c>
      <c r="H134" s="44"/>
      <c r="I134" s="43"/>
      <c r="J134" s="44"/>
      <c r="K134" s="43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</row>
    <row r="135" spans="7:93" x14ac:dyDescent="0.25">
      <c r="G135" s="11" t="s">
        <v>661</v>
      </c>
      <c r="H135" s="44"/>
      <c r="I135" s="43"/>
      <c r="J135" s="44"/>
      <c r="K135" s="43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</row>
    <row r="136" spans="7:93" x14ac:dyDescent="0.25">
      <c r="G136" s="11" t="s">
        <v>662</v>
      </c>
      <c r="H136" s="44"/>
      <c r="I136" s="43"/>
      <c r="J136" s="44"/>
      <c r="K136" s="43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</row>
    <row r="137" spans="7:93" x14ac:dyDescent="0.25">
      <c r="G137" s="11" t="s">
        <v>663</v>
      </c>
      <c r="H137" s="44"/>
      <c r="I137" s="43"/>
      <c r="J137" s="44"/>
      <c r="K137" s="43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</row>
    <row r="138" spans="7:93" x14ac:dyDescent="0.25">
      <c r="G138" s="11" t="s">
        <v>664</v>
      </c>
      <c r="H138" s="44"/>
      <c r="I138" s="43"/>
      <c r="J138" s="44"/>
      <c r="K138" s="43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</row>
    <row r="139" spans="7:93" x14ac:dyDescent="0.25">
      <c r="G139" s="11" t="s">
        <v>665</v>
      </c>
      <c r="H139" s="44"/>
      <c r="I139" s="43"/>
      <c r="J139" s="44"/>
      <c r="K139" s="43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</row>
    <row r="140" spans="7:93" x14ac:dyDescent="0.25">
      <c r="G140" s="11" t="s">
        <v>666</v>
      </c>
      <c r="H140" s="44"/>
      <c r="I140" s="43"/>
      <c r="J140" s="44"/>
      <c r="K140" s="43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</row>
    <row r="141" spans="7:93" x14ac:dyDescent="0.25">
      <c r="G141" s="11" t="s">
        <v>667</v>
      </c>
      <c r="H141" s="44"/>
      <c r="I141" s="43"/>
      <c r="J141" s="44"/>
      <c r="K141" s="43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</row>
    <row r="142" spans="7:93" x14ac:dyDescent="0.25">
      <c r="G142" s="11" t="s">
        <v>668</v>
      </c>
      <c r="H142" s="44"/>
      <c r="I142" s="43"/>
      <c r="J142" s="44"/>
      <c r="K142" s="43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</row>
    <row r="143" spans="7:93" x14ac:dyDescent="0.25">
      <c r="G143" s="11" t="s">
        <v>669</v>
      </c>
      <c r="H143" s="44"/>
      <c r="I143" s="43"/>
      <c r="J143" s="44"/>
      <c r="K143" s="43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</row>
    <row r="144" spans="7:93" x14ac:dyDescent="0.25">
      <c r="G144" s="11" t="s">
        <v>670</v>
      </c>
      <c r="H144" s="44"/>
      <c r="I144" s="43"/>
      <c r="J144" s="44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</row>
    <row r="145" spans="7:93" x14ac:dyDescent="0.25">
      <c r="G145" s="11" t="s">
        <v>671</v>
      </c>
      <c r="H145" s="44"/>
      <c r="I145" s="43"/>
      <c r="J145" s="44"/>
      <c r="K145" s="43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</row>
    <row r="146" spans="7:93" x14ac:dyDescent="0.25">
      <c r="G146" s="11" t="s">
        <v>672</v>
      </c>
      <c r="H146" s="44"/>
      <c r="I146" s="43"/>
      <c r="J146" s="44"/>
      <c r="K146" s="43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</row>
    <row r="147" spans="7:93" x14ac:dyDescent="0.25">
      <c r="G147" s="11" t="s">
        <v>673</v>
      </c>
      <c r="H147" s="44"/>
      <c r="I147" s="43"/>
      <c r="J147" s="44"/>
      <c r="K147" s="43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</row>
    <row r="148" spans="7:93" x14ac:dyDescent="0.25">
      <c r="G148" s="11" t="s">
        <v>674</v>
      </c>
      <c r="H148" s="44"/>
      <c r="I148" s="43"/>
      <c r="J148" s="44"/>
      <c r="K148" s="43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</row>
    <row r="149" spans="7:93" x14ac:dyDescent="0.25">
      <c r="G149" s="11" t="s">
        <v>675</v>
      </c>
      <c r="H149" s="44"/>
      <c r="I149" s="43"/>
      <c r="J149" s="44"/>
      <c r="K149" s="43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</row>
    <row r="150" spans="7:93" x14ac:dyDescent="0.25">
      <c r="G150" s="11" t="s">
        <v>676</v>
      </c>
      <c r="H150" s="44"/>
      <c r="I150" s="43"/>
      <c r="J150" s="44"/>
      <c r="K150" s="43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</row>
    <row r="151" spans="7:93" x14ac:dyDescent="0.25">
      <c r="G151" s="11" t="s">
        <v>677</v>
      </c>
      <c r="H151" s="44"/>
      <c r="I151" s="43"/>
      <c r="J151" s="44"/>
      <c r="K151" s="43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</row>
    <row r="152" spans="7:93" x14ac:dyDescent="0.25">
      <c r="G152" s="11" t="s">
        <v>678</v>
      </c>
      <c r="H152" s="44"/>
      <c r="I152" s="43"/>
      <c r="J152" s="44"/>
      <c r="K152" s="43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</row>
    <row r="153" spans="7:93" x14ac:dyDescent="0.25">
      <c r="G153" s="11" t="s">
        <v>679</v>
      </c>
      <c r="H153" s="44"/>
      <c r="I153" s="43"/>
      <c r="J153" s="44"/>
      <c r="K153" s="43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</row>
    <row r="154" spans="7:93" x14ac:dyDescent="0.25">
      <c r="G154" s="11" t="s">
        <v>680</v>
      </c>
      <c r="H154" s="44"/>
      <c r="I154" s="43"/>
      <c r="J154" s="44"/>
      <c r="K154" s="43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</row>
    <row r="155" spans="7:93" x14ac:dyDescent="0.25">
      <c r="G155" s="11" t="s">
        <v>681</v>
      </c>
      <c r="H155" s="44"/>
      <c r="I155" s="43"/>
      <c r="J155" s="44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</row>
    <row r="156" spans="7:93" x14ac:dyDescent="0.25">
      <c r="G156" s="11" t="s">
        <v>682</v>
      </c>
      <c r="H156" s="44"/>
      <c r="I156" s="43"/>
      <c r="J156" s="44"/>
      <c r="K156" s="43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</row>
    <row r="157" spans="7:93" x14ac:dyDescent="0.25">
      <c r="G157" s="11" t="s">
        <v>683</v>
      </c>
      <c r="H157" s="44"/>
      <c r="I157" s="43"/>
      <c r="J157" s="44"/>
      <c r="K157" s="43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</row>
    <row r="158" spans="7:93" x14ac:dyDescent="0.25">
      <c r="G158" s="11" t="s">
        <v>684</v>
      </c>
      <c r="H158" s="44"/>
      <c r="I158" s="43"/>
      <c r="J158" s="44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</row>
    <row r="159" spans="7:93" x14ac:dyDescent="0.25">
      <c r="G159" s="11" t="s">
        <v>685</v>
      </c>
      <c r="H159" s="44"/>
      <c r="I159" s="43"/>
      <c r="J159" s="44"/>
      <c r="K159" s="43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</row>
    <row r="160" spans="7:93" x14ac:dyDescent="0.25">
      <c r="G160" s="11" t="s">
        <v>686</v>
      </c>
      <c r="H160" s="44"/>
      <c r="I160" s="43"/>
      <c r="J160" s="44"/>
      <c r="K160" s="43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</row>
    <row r="161" spans="7:93" x14ac:dyDescent="0.25">
      <c r="G161" s="11" t="s">
        <v>687</v>
      </c>
      <c r="H161" s="44"/>
      <c r="I161" s="43"/>
      <c r="J161" s="44"/>
      <c r="K161" s="43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</row>
    <row r="162" spans="7:93" x14ac:dyDescent="0.25">
      <c r="G162" s="11" t="s">
        <v>688</v>
      </c>
      <c r="H162" s="44"/>
      <c r="I162" s="43"/>
      <c r="J162" s="44"/>
      <c r="K162" s="43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</row>
    <row r="163" spans="7:93" x14ac:dyDescent="0.25">
      <c r="G163" s="11" t="s">
        <v>689</v>
      </c>
      <c r="H163" s="44"/>
      <c r="I163" s="43"/>
      <c r="J163" s="44"/>
      <c r="K163" s="43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</row>
    <row r="164" spans="7:93" x14ac:dyDescent="0.25">
      <c r="G164" s="11" t="s">
        <v>690</v>
      </c>
      <c r="H164" s="44"/>
      <c r="I164" s="43"/>
      <c r="J164" s="44"/>
      <c r="K164" s="43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</row>
    <row r="165" spans="7:93" x14ac:dyDescent="0.25">
      <c r="G165" s="11" t="s">
        <v>691</v>
      </c>
      <c r="H165" s="44"/>
      <c r="I165" s="43"/>
      <c r="J165" s="44"/>
      <c r="K165" s="43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</row>
    <row r="166" spans="7:93" x14ac:dyDescent="0.25">
      <c r="G166" s="11" t="s">
        <v>692</v>
      </c>
      <c r="H166" s="44"/>
      <c r="I166" s="43"/>
      <c r="J166" s="44"/>
      <c r="K166" s="43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</row>
    <row r="167" spans="7:93" x14ac:dyDescent="0.25">
      <c r="G167" s="11" t="s">
        <v>693</v>
      </c>
      <c r="H167" s="44"/>
      <c r="I167" s="43"/>
      <c r="J167" s="44"/>
      <c r="K167" s="43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</row>
    <row r="168" spans="7:93" x14ac:dyDescent="0.25">
      <c r="G168" s="11" t="s">
        <v>694</v>
      </c>
      <c r="H168" s="44"/>
      <c r="I168" s="43"/>
      <c r="J168" s="44"/>
      <c r="K168" s="43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</row>
    <row r="169" spans="7:93" x14ac:dyDescent="0.25">
      <c r="G169" s="11" t="s">
        <v>695</v>
      </c>
      <c r="H169" s="44"/>
      <c r="I169" s="43"/>
      <c r="J169" s="44"/>
      <c r="K169" s="43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</row>
    <row r="170" spans="7:93" x14ac:dyDescent="0.25">
      <c r="G170" s="11" t="s">
        <v>696</v>
      </c>
      <c r="H170" s="44"/>
      <c r="I170" s="43"/>
      <c r="J170" s="44"/>
      <c r="K170" s="43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</row>
    <row r="171" spans="7:93" x14ac:dyDescent="0.25">
      <c r="G171" s="11" t="s">
        <v>697</v>
      </c>
      <c r="H171" s="44"/>
      <c r="I171" s="43"/>
      <c r="J171" s="44"/>
      <c r="K171" s="43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</row>
    <row r="172" spans="7:93" x14ac:dyDescent="0.25">
      <c r="G172" s="11" t="s">
        <v>698</v>
      </c>
      <c r="H172" s="44"/>
      <c r="I172" s="43"/>
      <c r="J172" s="44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</row>
    <row r="173" spans="7:93" x14ac:dyDescent="0.25">
      <c r="G173" s="11" t="s">
        <v>699</v>
      </c>
      <c r="H173" s="44"/>
      <c r="I173" s="43"/>
      <c r="J173" s="44"/>
      <c r="K173" s="43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</row>
    <row r="174" spans="7:93" x14ac:dyDescent="0.25">
      <c r="G174" s="11" t="s">
        <v>700</v>
      </c>
      <c r="H174" s="44"/>
      <c r="I174" s="43"/>
      <c r="J174" s="44"/>
      <c r="K174" s="43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</row>
    <row r="175" spans="7:93" x14ac:dyDescent="0.25">
      <c r="G175" s="11" t="s">
        <v>701</v>
      </c>
      <c r="H175" s="44"/>
      <c r="I175" s="43"/>
      <c r="J175" s="44"/>
      <c r="K175" s="43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</row>
    <row r="176" spans="7:93" x14ac:dyDescent="0.25">
      <c r="G176" s="11" t="s">
        <v>702</v>
      </c>
      <c r="H176" s="44"/>
      <c r="I176" s="43"/>
      <c r="J176" s="44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</row>
    <row r="177" spans="7:93" x14ac:dyDescent="0.25">
      <c r="G177" s="11" t="s">
        <v>703</v>
      </c>
      <c r="H177" s="44"/>
      <c r="I177" s="43"/>
      <c r="J177" s="44"/>
      <c r="K177" s="43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</row>
    <row r="178" spans="7:93" x14ac:dyDescent="0.25">
      <c r="G178" s="11" t="s">
        <v>704</v>
      </c>
      <c r="H178" s="44"/>
      <c r="I178" s="43"/>
      <c r="J178" s="44"/>
      <c r="K178" s="43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</row>
    <row r="179" spans="7:93" x14ac:dyDescent="0.25">
      <c r="G179" s="11" t="s">
        <v>705</v>
      </c>
      <c r="H179" s="44"/>
      <c r="I179" s="43"/>
      <c r="J179" s="44"/>
      <c r="K179" s="43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</row>
    <row r="180" spans="7:93" x14ac:dyDescent="0.25">
      <c r="G180" s="11" t="s">
        <v>706</v>
      </c>
      <c r="H180" s="44"/>
      <c r="I180" s="43"/>
      <c r="J180" s="44"/>
      <c r="K180" s="43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</row>
    <row r="181" spans="7:93" x14ac:dyDescent="0.25">
      <c r="G181" s="11" t="s">
        <v>707</v>
      </c>
      <c r="H181" s="44"/>
      <c r="I181" s="43"/>
      <c r="J181" s="44"/>
      <c r="K181" s="43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</row>
    <row r="182" spans="7:93" x14ac:dyDescent="0.25">
      <c r="G182" s="11" t="s">
        <v>708</v>
      </c>
      <c r="H182" s="44"/>
      <c r="I182" s="43"/>
      <c r="J182" s="44"/>
      <c r="K182" s="43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</row>
    <row r="183" spans="7:93" x14ac:dyDescent="0.25">
      <c r="G183" s="11" t="s">
        <v>709</v>
      </c>
      <c r="H183" s="44"/>
      <c r="I183" s="43"/>
      <c r="J183" s="44"/>
      <c r="K183" s="43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</row>
    <row r="184" spans="7:93" x14ac:dyDescent="0.25">
      <c r="G184" s="11" t="s">
        <v>710</v>
      </c>
      <c r="H184" s="44"/>
      <c r="I184" s="43"/>
      <c r="J184" s="44"/>
      <c r="K184" s="43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</row>
    <row r="185" spans="7:93" x14ac:dyDescent="0.25">
      <c r="G185" s="11" t="s">
        <v>711</v>
      </c>
      <c r="H185" s="44"/>
      <c r="I185" s="43"/>
      <c r="J185" s="44"/>
      <c r="K185" s="43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</row>
    <row r="186" spans="7:93" x14ac:dyDescent="0.25">
      <c r="G186" s="11" t="s">
        <v>712</v>
      </c>
      <c r="H186" s="44"/>
      <c r="I186" s="43"/>
      <c r="J186" s="44"/>
      <c r="K186" s="43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</row>
    <row r="187" spans="7:93" x14ac:dyDescent="0.25">
      <c r="G187" s="11" t="s">
        <v>713</v>
      </c>
      <c r="H187" s="44"/>
      <c r="I187" s="43"/>
      <c r="J187" s="44"/>
      <c r="K187" s="43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</row>
    <row r="188" spans="7:93" x14ac:dyDescent="0.25">
      <c r="G188" s="11" t="s">
        <v>714</v>
      </c>
      <c r="H188" s="44"/>
      <c r="I188" s="43"/>
      <c r="J188" s="44"/>
      <c r="K188" s="43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</row>
    <row r="189" spans="7:93" x14ac:dyDescent="0.25">
      <c r="G189" s="11" t="s">
        <v>715</v>
      </c>
      <c r="H189" s="44"/>
      <c r="I189" s="43"/>
      <c r="J189" s="44"/>
      <c r="K189" s="43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</row>
    <row r="190" spans="7:93" x14ac:dyDescent="0.25">
      <c r="G190" s="11" t="s">
        <v>716</v>
      </c>
      <c r="H190" s="44"/>
      <c r="I190" s="43"/>
      <c r="J190" s="44"/>
      <c r="K190" s="43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</row>
    <row r="191" spans="7:93" x14ac:dyDescent="0.25">
      <c r="G191" s="11" t="s">
        <v>717</v>
      </c>
      <c r="H191" s="44"/>
      <c r="I191" s="43"/>
      <c r="J191" s="44"/>
      <c r="K191" s="43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</row>
    <row r="192" spans="7:93" x14ac:dyDescent="0.25">
      <c r="G192" s="11" t="s">
        <v>718</v>
      </c>
      <c r="H192" s="44"/>
      <c r="I192" s="43"/>
      <c r="J192" s="44"/>
      <c r="K192" s="43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</row>
    <row r="193" spans="7:93" x14ac:dyDescent="0.25">
      <c r="G193" s="11" t="s">
        <v>719</v>
      </c>
      <c r="H193" s="44"/>
      <c r="I193" s="43"/>
      <c r="J193" s="44"/>
      <c r="K193" s="43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</row>
    <row r="194" spans="7:93" x14ac:dyDescent="0.25">
      <c r="G194" s="11" t="s">
        <v>720</v>
      </c>
      <c r="H194" s="44"/>
      <c r="I194" s="43"/>
      <c r="J194" s="44"/>
      <c r="K194" s="43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</row>
    <row r="195" spans="7:93" x14ac:dyDescent="0.25">
      <c r="G195" s="11" t="s">
        <v>721</v>
      </c>
      <c r="H195" s="44"/>
      <c r="I195" s="43"/>
      <c r="J195" s="44"/>
      <c r="K195" s="43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</row>
    <row r="196" spans="7:93" x14ac:dyDescent="0.25">
      <c r="G196" s="11" t="s">
        <v>722</v>
      </c>
      <c r="H196" s="44"/>
      <c r="I196" s="43"/>
      <c r="J196" s="44"/>
      <c r="K196" s="43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</row>
    <row r="197" spans="7:93" x14ac:dyDescent="0.25">
      <c r="G197" s="11" t="s">
        <v>723</v>
      </c>
      <c r="H197" s="44"/>
      <c r="I197" s="43"/>
      <c r="J197" s="44"/>
      <c r="K197" s="43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</row>
    <row r="198" spans="7:93" x14ac:dyDescent="0.25">
      <c r="G198" s="11" t="s">
        <v>724</v>
      </c>
      <c r="H198" s="44"/>
      <c r="I198" s="43"/>
      <c r="J198" s="44"/>
      <c r="K198" s="43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</row>
    <row r="199" spans="7:93" x14ac:dyDescent="0.25">
      <c r="G199" s="11" t="s">
        <v>725</v>
      </c>
      <c r="H199" s="44"/>
      <c r="I199" s="43"/>
      <c r="J199" s="44"/>
      <c r="K199" s="43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</row>
    <row r="200" spans="7:93" x14ac:dyDescent="0.25">
      <c r="G200" s="11" t="s">
        <v>726</v>
      </c>
      <c r="H200" s="44"/>
      <c r="I200" s="43"/>
      <c r="J200" s="44"/>
      <c r="K200" s="43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</row>
    <row r="201" spans="7:93" x14ac:dyDescent="0.25">
      <c r="G201" s="11" t="s">
        <v>727</v>
      </c>
      <c r="H201" s="44"/>
      <c r="I201" s="43"/>
      <c r="J201" s="44"/>
      <c r="K201" s="43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</row>
    <row r="202" spans="7:93" x14ac:dyDescent="0.25">
      <c r="G202" s="11" t="s">
        <v>728</v>
      </c>
      <c r="H202" s="44"/>
      <c r="I202" s="43"/>
      <c r="J202" s="44"/>
      <c r="K202" s="43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</row>
    <row r="203" spans="7:93" x14ac:dyDescent="0.25">
      <c r="G203" s="11" t="s">
        <v>729</v>
      </c>
      <c r="H203" s="44"/>
      <c r="I203" s="43"/>
      <c r="J203" s="44"/>
      <c r="K203" s="43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</row>
    <row r="204" spans="7:93" x14ac:dyDescent="0.25">
      <c r="G204" s="11" t="s">
        <v>730</v>
      </c>
      <c r="H204" s="44"/>
      <c r="I204" s="43"/>
      <c r="J204" s="44"/>
      <c r="K204" s="43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</row>
    <row r="205" spans="7:93" x14ac:dyDescent="0.25">
      <c r="G205" s="11" t="s">
        <v>731</v>
      </c>
      <c r="H205" s="44"/>
      <c r="I205" s="43"/>
      <c r="J205" s="44"/>
      <c r="K205" s="43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</row>
    <row r="206" spans="7:93" x14ac:dyDescent="0.25">
      <c r="G206" s="11" t="s">
        <v>732</v>
      </c>
      <c r="H206" s="44"/>
      <c r="I206" s="43"/>
      <c r="J206" s="44"/>
      <c r="K206" s="43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</row>
    <row r="207" spans="7:93" x14ac:dyDescent="0.25">
      <c r="G207" s="11" t="s">
        <v>733</v>
      </c>
      <c r="H207" s="44"/>
      <c r="I207" s="43"/>
      <c r="J207" s="44"/>
      <c r="K207" s="43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</row>
    <row r="208" spans="7:93" x14ac:dyDescent="0.25">
      <c r="G208" s="11" t="s">
        <v>734</v>
      </c>
      <c r="H208" s="44"/>
      <c r="I208" s="43"/>
      <c r="J208" s="44"/>
      <c r="K208" s="43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</row>
    <row r="209" spans="7:93" x14ac:dyDescent="0.25">
      <c r="G209" s="11" t="s">
        <v>735</v>
      </c>
      <c r="H209" s="44"/>
      <c r="I209" s="43"/>
      <c r="J209" s="44"/>
      <c r="K209" s="43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</row>
    <row r="210" spans="7:93" x14ac:dyDescent="0.25">
      <c r="G210" s="11" t="s">
        <v>736</v>
      </c>
      <c r="H210" s="44"/>
      <c r="I210" s="43"/>
      <c r="J210" s="44"/>
      <c r="K210" s="43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</row>
    <row r="211" spans="7:93" x14ac:dyDescent="0.25">
      <c r="G211" s="11" t="s">
        <v>737</v>
      </c>
      <c r="H211" s="44"/>
      <c r="I211" s="43"/>
      <c r="J211" s="44"/>
      <c r="K211" s="43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</row>
    <row r="212" spans="7:93" x14ac:dyDescent="0.25">
      <c r="G212" s="11" t="s">
        <v>738</v>
      </c>
      <c r="H212" s="44"/>
      <c r="I212" s="43"/>
      <c r="J212" s="44"/>
      <c r="K212" s="43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</row>
    <row r="213" spans="7:93" x14ac:dyDescent="0.25">
      <c r="G213" s="11" t="s">
        <v>739</v>
      </c>
      <c r="H213" s="44"/>
      <c r="I213" s="43"/>
      <c r="J213" s="44"/>
      <c r="K213" s="43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</row>
    <row r="214" spans="7:93" x14ac:dyDescent="0.25">
      <c r="G214" s="11" t="s">
        <v>740</v>
      </c>
      <c r="H214" s="44"/>
      <c r="I214" s="43"/>
      <c r="J214" s="44"/>
      <c r="K214" s="43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</row>
    <row r="215" spans="7:93" x14ac:dyDescent="0.25">
      <c r="G215" s="11" t="s">
        <v>741</v>
      </c>
      <c r="H215" s="44"/>
      <c r="I215" s="43"/>
      <c r="J215" s="44"/>
      <c r="K215" s="43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</row>
    <row r="216" spans="7:93" x14ac:dyDescent="0.25">
      <c r="G216" s="11" t="s">
        <v>742</v>
      </c>
      <c r="H216" s="44"/>
      <c r="I216" s="43"/>
      <c r="J216" s="44"/>
      <c r="K216" s="43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</row>
    <row r="217" spans="7:93" x14ac:dyDescent="0.25">
      <c r="G217" s="11" t="s">
        <v>743</v>
      </c>
      <c r="H217" s="44"/>
      <c r="I217" s="43"/>
      <c r="J217" s="44"/>
      <c r="K217" s="43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</row>
    <row r="218" spans="7:93" x14ac:dyDescent="0.25">
      <c r="G218" s="11" t="s">
        <v>744</v>
      </c>
      <c r="H218" s="44"/>
      <c r="I218" s="43"/>
      <c r="J218" s="44"/>
      <c r="K218" s="43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</row>
    <row r="219" spans="7:93" x14ac:dyDescent="0.25">
      <c r="G219" s="11" t="s">
        <v>745</v>
      </c>
      <c r="H219" s="44"/>
      <c r="I219" s="43"/>
      <c r="J219" s="44"/>
      <c r="K219" s="43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</row>
    <row r="220" spans="7:93" x14ac:dyDescent="0.25">
      <c r="G220" s="11" t="s">
        <v>746</v>
      </c>
      <c r="H220" s="44"/>
      <c r="I220" s="43"/>
      <c r="J220" s="44"/>
      <c r="K220" s="43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</row>
    <row r="221" spans="7:93" x14ac:dyDescent="0.25">
      <c r="G221" s="11" t="s">
        <v>747</v>
      </c>
      <c r="H221" s="44"/>
      <c r="I221" s="43"/>
      <c r="J221" s="44"/>
      <c r="K221" s="43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</row>
    <row r="222" spans="7:93" x14ac:dyDescent="0.25">
      <c r="G222" s="11" t="s">
        <v>748</v>
      </c>
      <c r="H222" s="44"/>
      <c r="I222" s="43"/>
      <c r="J222" s="44"/>
      <c r="K222" s="43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</row>
    <row r="223" spans="7:93" x14ac:dyDescent="0.25">
      <c r="G223" s="11" t="s">
        <v>749</v>
      </c>
      <c r="H223" s="44"/>
      <c r="I223" s="43"/>
      <c r="J223" s="44"/>
      <c r="K223" s="43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</row>
    <row r="224" spans="7:93" x14ac:dyDescent="0.25">
      <c r="G224" s="11" t="s">
        <v>750</v>
      </c>
      <c r="H224" s="44"/>
      <c r="I224" s="43"/>
      <c r="J224" s="44"/>
      <c r="K224" s="43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</row>
    <row r="225" spans="7:93" x14ac:dyDescent="0.25">
      <c r="G225" s="11" t="s">
        <v>751</v>
      </c>
      <c r="H225" s="44"/>
      <c r="I225" s="43"/>
      <c r="J225" s="44"/>
      <c r="K225" s="43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</row>
    <row r="226" spans="7:93" x14ac:dyDescent="0.25">
      <c r="G226" s="11" t="s">
        <v>752</v>
      </c>
      <c r="H226" s="44"/>
      <c r="I226" s="43"/>
      <c r="J226" s="44"/>
      <c r="K226" s="43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</row>
    <row r="227" spans="7:93" x14ac:dyDescent="0.25">
      <c r="G227" s="11" t="s">
        <v>753</v>
      </c>
      <c r="H227" s="44"/>
      <c r="I227" s="43"/>
      <c r="J227" s="44"/>
      <c r="K227" s="43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</row>
    <row r="228" spans="7:93" x14ac:dyDescent="0.25">
      <c r="G228" s="11" t="s">
        <v>754</v>
      </c>
      <c r="H228" s="44"/>
      <c r="I228" s="43"/>
      <c r="J228" s="44"/>
      <c r="K228" s="43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</row>
    <row r="229" spans="7:93" x14ac:dyDescent="0.25">
      <c r="G229" s="11" t="s">
        <v>755</v>
      </c>
      <c r="H229" s="44"/>
      <c r="I229" s="43"/>
      <c r="J229" s="44"/>
      <c r="K229" s="43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</row>
    <row r="230" spans="7:93" x14ac:dyDescent="0.25">
      <c r="G230" s="11" t="s">
        <v>756</v>
      </c>
      <c r="H230" s="44"/>
      <c r="I230" s="43"/>
      <c r="J230" s="44"/>
      <c r="K230" s="43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</row>
    <row r="231" spans="7:93" x14ac:dyDescent="0.25">
      <c r="G231" s="11" t="s">
        <v>757</v>
      </c>
      <c r="H231" s="44"/>
      <c r="I231" s="43"/>
      <c r="J231" s="44"/>
      <c r="K231" s="43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</row>
    <row r="232" spans="7:93" x14ac:dyDescent="0.25">
      <c r="G232" s="11" t="s">
        <v>758</v>
      </c>
      <c r="H232" s="44"/>
      <c r="I232" s="43"/>
      <c r="J232" s="44"/>
      <c r="K232" s="43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</row>
    <row r="233" spans="7:93" x14ac:dyDescent="0.25">
      <c r="G233" s="11" t="s">
        <v>759</v>
      </c>
      <c r="H233" s="44"/>
      <c r="I233" s="43"/>
      <c r="J233" s="44"/>
      <c r="K233" s="43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</row>
    <row r="234" spans="7:93" x14ac:dyDescent="0.25">
      <c r="G234" s="11" t="s">
        <v>760</v>
      </c>
      <c r="H234" s="44"/>
      <c r="I234" s="43"/>
      <c r="J234" s="44"/>
      <c r="K234" s="43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</row>
    <row r="235" spans="7:93" x14ac:dyDescent="0.25">
      <c r="G235" s="11" t="s">
        <v>761</v>
      </c>
      <c r="H235" s="44"/>
      <c r="I235" s="43"/>
      <c r="J235" s="44"/>
      <c r="K235" s="43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</row>
    <row r="236" spans="7:93" x14ac:dyDescent="0.25">
      <c r="G236" s="11" t="s">
        <v>762</v>
      </c>
      <c r="H236" s="44"/>
      <c r="I236" s="43"/>
      <c r="J236" s="44"/>
      <c r="K236" s="43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</row>
    <row r="237" spans="7:93" x14ac:dyDescent="0.25">
      <c r="G237" s="11" t="s">
        <v>763</v>
      </c>
      <c r="H237" s="44"/>
      <c r="I237" s="43"/>
      <c r="J237" s="44"/>
      <c r="K237" s="43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</row>
    <row r="238" spans="7:93" x14ac:dyDescent="0.25">
      <c r="G238" s="11" t="s">
        <v>764</v>
      </c>
      <c r="H238" s="44"/>
      <c r="I238" s="43"/>
      <c r="J238" s="44"/>
      <c r="K238" s="43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</row>
    <row r="239" spans="7:93" x14ac:dyDescent="0.25">
      <c r="G239" s="11" t="s">
        <v>765</v>
      </c>
      <c r="H239" s="44"/>
      <c r="I239" s="43"/>
      <c r="J239" s="44"/>
      <c r="K239" s="43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</row>
    <row r="240" spans="7:93" x14ac:dyDescent="0.25">
      <c r="G240" s="11" t="s">
        <v>766</v>
      </c>
      <c r="H240" s="44"/>
      <c r="I240" s="43"/>
      <c r="J240" s="44"/>
      <c r="K240" s="43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</row>
    <row r="241" spans="7:93" x14ac:dyDescent="0.25">
      <c r="G241" s="11" t="s">
        <v>767</v>
      </c>
      <c r="H241" s="44"/>
      <c r="I241" s="43"/>
      <c r="J241" s="44"/>
      <c r="K241" s="43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</row>
    <row r="242" spans="7:93" x14ac:dyDescent="0.25">
      <c r="G242" s="11" t="s">
        <v>768</v>
      </c>
      <c r="H242" s="44"/>
      <c r="I242" s="43"/>
      <c r="J242" s="44"/>
      <c r="K242" s="43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</row>
    <row r="243" spans="7:93" x14ac:dyDescent="0.25">
      <c r="G243" s="11" t="s">
        <v>769</v>
      </c>
      <c r="H243" s="44"/>
      <c r="I243" s="43"/>
      <c r="J243" s="44"/>
      <c r="K243" s="43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</row>
    <row r="244" spans="7:93" x14ac:dyDescent="0.25">
      <c r="G244" s="11" t="s">
        <v>770</v>
      </c>
      <c r="H244" s="44"/>
      <c r="I244" s="43"/>
      <c r="J244" s="44"/>
      <c r="K244" s="43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</row>
    <row r="245" spans="7:93" x14ac:dyDescent="0.25">
      <c r="G245" s="11" t="s">
        <v>771</v>
      </c>
      <c r="H245" s="44"/>
      <c r="I245" s="43"/>
      <c r="J245" s="44"/>
      <c r="K245" s="43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</row>
    <row r="246" spans="7:93" x14ac:dyDescent="0.25">
      <c r="G246" s="11" t="s">
        <v>772</v>
      </c>
      <c r="H246" s="44"/>
      <c r="I246" s="43"/>
      <c r="J246" s="44"/>
      <c r="K246" s="43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</row>
    <row r="247" spans="7:93" x14ac:dyDescent="0.25">
      <c r="G247" s="11" t="s">
        <v>773</v>
      </c>
      <c r="H247" s="44"/>
      <c r="I247" s="43"/>
      <c r="J247" s="44"/>
      <c r="K247" s="43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</row>
    <row r="248" spans="7:93" x14ac:dyDescent="0.25">
      <c r="G248" s="11" t="s">
        <v>774</v>
      </c>
      <c r="H248" s="44"/>
      <c r="I248" s="43"/>
      <c r="J248" s="44"/>
      <c r="K248" s="43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</row>
    <row r="249" spans="7:93" x14ac:dyDescent="0.25">
      <c r="G249" s="11" t="s">
        <v>775</v>
      </c>
      <c r="H249" s="44"/>
      <c r="I249" s="43"/>
      <c r="J249" s="44"/>
      <c r="K249" s="43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</row>
    <row r="250" spans="7:93" x14ac:dyDescent="0.25">
      <c r="G250" s="11" t="s">
        <v>776</v>
      </c>
      <c r="H250" s="44"/>
      <c r="I250" s="43"/>
      <c r="J250" s="44"/>
      <c r="K250" s="43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</row>
    <row r="251" spans="7:93" x14ac:dyDescent="0.25">
      <c r="G251" s="11" t="s">
        <v>777</v>
      </c>
      <c r="H251" s="44"/>
      <c r="I251" s="43"/>
      <c r="J251" s="44"/>
      <c r="K251" s="43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</row>
    <row r="252" spans="7:93" x14ac:dyDescent="0.25">
      <c r="G252" s="11" t="s">
        <v>778</v>
      </c>
      <c r="H252" s="44"/>
      <c r="I252" s="43"/>
      <c r="J252" s="44"/>
      <c r="K252" s="43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</row>
    <row r="253" spans="7:93" x14ac:dyDescent="0.25">
      <c r="G253" s="11" t="s">
        <v>779</v>
      </c>
      <c r="H253" s="44"/>
      <c r="I253" s="43"/>
      <c r="J253" s="44"/>
      <c r="K253" s="43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</row>
    <row r="254" spans="7:93" x14ac:dyDescent="0.25">
      <c r="G254" s="11" t="s">
        <v>780</v>
      </c>
      <c r="H254" s="44"/>
      <c r="I254" s="43"/>
      <c r="J254" s="44"/>
      <c r="K254" s="43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</row>
    <row r="255" spans="7:93" x14ac:dyDescent="0.25">
      <c r="G255" s="11" t="s">
        <v>781</v>
      </c>
      <c r="H255" s="44"/>
      <c r="I255" s="43"/>
      <c r="J255" s="44"/>
      <c r="K255" s="43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</row>
    <row r="256" spans="7:93" x14ac:dyDescent="0.25">
      <c r="G256" s="11" t="s">
        <v>782</v>
      </c>
      <c r="H256" s="44"/>
      <c r="I256" s="43"/>
      <c r="J256" s="44"/>
      <c r="K256" s="43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</row>
    <row r="257" spans="7:93" x14ac:dyDescent="0.25">
      <c r="G257" s="11" t="s">
        <v>783</v>
      </c>
      <c r="H257" s="44"/>
      <c r="I257" s="43"/>
      <c r="J257" s="44"/>
      <c r="K257" s="43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</row>
    <row r="258" spans="7:93" x14ac:dyDescent="0.25">
      <c r="G258" s="11" t="s">
        <v>784</v>
      </c>
      <c r="H258" s="44"/>
      <c r="I258" s="43"/>
      <c r="J258" s="44"/>
      <c r="K258" s="43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</row>
    <row r="259" spans="7:93" x14ac:dyDescent="0.25">
      <c r="G259" s="11" t="s">
        <v>785</v>
      </c>
      <c r="H259" s="44"/>
      <c r="I259" s="43"/>
      <c r="J259" s="44"/>
      <c r="K259" s="43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</row>
    <row r="260" spans="7:93" x14ac:dyDescent="0.25">
      <c r="G260" s="11" t="s">
        <v>786</v>
      </c>
      <c r="H260" s="44"/>
      <c r="I260" s="43"/>
      <c r="J260" s="44"/>
      <c r="K260" s="43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</row>
    <row r="261" spans="7:93" x14ac:dyDescent="0.25">
      <c r="G261" s="11" t="s">
        <v>787</v>
      </c>
      <c r="H261" s="44"/>
      <c r="I261" s="43"/>
      <c r="J261" s="44"/>
      <c r="K261" s="43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</row>
    <row r="262" spans="7:93" x14ac:dyDescent="0.25">
      <c r="G262" s="11" t="s">
        <v>788</v>
      </c>
      <c r="H262" s="44"/>
      <c r="I262" s="43"/>
      <c r="J262" s="44"/>
      <c r="K262" s="43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</row>
    <row r="263" spans="7:93" x14ac:dyDescent="0.25">
      <c r="G263" s="11" t="s">
        <v>789</v>
      </c>
      <c r="H263" s="44"/>
      <c r="I263" s="43"/>
      <c r="J263" s="44"/>
      <c r="K263" s="43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</row>
    <row r="264" spans="7:93" x14ac:dyDescent="0.25">
      <c r="G264" s="11" t="s">
        <v>790</v>
      </c>
      <c r="H264" s="44"/>
      <c r="I264" s="43"/>
      <c r="J264" s="44"/>
      <c r="K264" s="43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</row>
    <row r="265" spans="7:93" x14ac:dyDescent="0.25">
      <c r="G265" s="11" t="s">
        <v>791</v>
      </c>
      <c r="H265" s="44"/>
      <c r="I265" s="43"/>
      <c r="J265" s="44"/>
      <c r="K265" s="43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</row>
    <row r="266" spans="7:93" x14ac:dyDescent="0.25">
      <c r="G266" s="11" t="s">
        <v>792</v>
      </c>
      <c r="H266" s="44"/>
      <c r="I266" s="43"/>
      <c r="J266" s="44"/>
      <c r="K266" s="43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</row>
    <row r="267" spans="7:93" x14ac:dyDescent="0.25">
      <c r="G267" s="11" t="s">
        <v>793</v>
      </c>
      <c r="H267" s="44"/>
      <c r="I267" s="43"/>
      <c r="J267" s="44"/>
      <c r="K267" s="43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</row>
    <row r="268" spans="7:93" x14ac:dyDescent="0.25">
      <c r="G268" s="11" t="s">
        <v>794</v>
      </c>
      <c r="H268" s="44"/>
      <c r="I268" s="43"/>
      <c r="J268" s="44"/>
      <c r="K268" s="43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</row>
    <row r="269" spans="7:93" x14ac:dyDescent="0.25">
      <c r="G269" s="11" t="s">
        <v>795</v>
      </c>
      <c r="H269" s="44"/>
      <c r="I269" s="43"/>
      <c r="J269" s="44"/>
      <c r="K269" s="43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</row>
    <row r="270" spans="7:93" x14ac:dyDescent="0.25">
      <c r="G270" s="11" t="s">
        <v>796</v>
      </c>
      <c r="H270" s="44"/>
      <c r="I270" s="43"/>
      <c r="J270" s="44"/>
      <c r="K270" s="43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</row>
    <row r="271" spans="7:93" x14ac:dyDescent="0.25">
      <c r="G271" s="11" t="s">
        <v>797</v>
      </c>
      <c r="H271" s="44"/>
      <c r="I271" s="43"/>
      <c r="J271" s="44"/>
      <c r="K271" s="43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</row>
    <row r="272" spans="7:93" x14ac:dyDescent="0.25">
      <c r="G272" s="11" t="s">
        <v>798</v>
      </c>
      <c r="H272" s="44"/>
      <c r="I272" s="43"/>
      <c r="J272" s="44"/>
      <c r="K272" s="43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</row>
    <row r="273" spans="7:93" x14ac:dyDescent="0.25">
      <c r="G273" s="11" t="s">
        <v>799</v>
      </c>
      <c r="H273" s="44"/>
      <c r="I273" s="43"/>
      <c r="J273" s="44"/>
      <c r="K273" s="43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</row>
    <row r="274" spans="7:93" x14ac:dyDescent="0.25">
      <c r="G274" s="11" t="s">
        <v>800</v>
      </c>
      <c r="H274" s="44"/>
      <c r="I274" s="43"/>
      <c r="J274" s="44"/>
      <c r="K274" s="43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</row>
    <row r="275" spans="7:93" x14ac:dyDescent="0.25">
      <c r="G275" s="11" t="s">
        <v>801</v>
      </c>
      <c r="H275" s="44"/>
      <c r="I275" s="43"/>
      <c r="J275" s="44"/>
      <c r="K275" s="43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</row>
    <row r="276" spans="7:93" x14ac:dyDescent="0.25">
      <c r="G276" s="11" t="s">
        <v>802</v>
      </c>
      <c r="H276" s="44"/>
      <c r="I276" s="43"/>
      <c r="J276" s="44"/>
      <c r="K276" s="43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</row>
    <row r="277" spans="7:93" x14ac:dyDescent="0.25">
      <c r="G277" s="11" t="s">
        <v>803</v>
      </c>
      <c r="H277" s="44"/>
      <c r="I277" s="43"/>
      <c r="J277" s="44"/>
      <c r="K277" s="43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</row>
    <row r="278" spans="7:93" x14ac:dyDescent="0.25">
      <c r="G278" s="11" t="s">
        <v>804</v>
      </c>
      <c r="H278" s="44"/>
      <c r="I278" s="43"/>
      <c r="J278" s="44"/>
      <c r="K278" s="43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</row>
    <row r="279" spans="7:93" x14ac:dyDescent="0.25">
      <c r="G279" s="11" t="s">
        <v>805</v>
      </c>
      <c r="H279" s="44"/>
      <c r="I279" s="43"/>
      <c r="J279" s="44"/>
      <c r="K279" s="43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</row>
    <row r="280" spans="7:93" x14ac:dyDescent="0.25">
      <c r="G280" s="11" t="s">
        <v>806</v>
      </c>
      <c r="H280" s="44"/>
      <c r="I280" s="43"/>
      <c r="J280" s="44"/>
      <c r="K280" s="43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</row>
    <row r="281" spans="7:93" x14ac:dyDescent="0.25">
      <c r="G281" s="11" t="s">
        <v>807</v>
      </c>
      <c r="H281" s="44"/>
      <c r="I281" s="43"/>
      <c r="J281" s="44"/>
      <c r="K281" s="43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</row>
    <row r="282" spans="7:93" x14ac:dyDescent="0.25">
      <c r="G282" s="11" t="s">
        <v>808</v>
      </c>
      <c r="H282" s="44"/>
      <c r="I282" s="43"/>
      <c r="J282" s="44"/>
      <c r="K282" s="43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</row>
    <row r="283" spans="7:93" x14ac:dyDescent="0.25">
      <c r="G283" s="11" t="s">
        <v>809</v>
      </c>
      <c r="H283" s="44"/>
      <c r="I283" s="43"/>
      <c r="J283" s="44"/>
      <c r="K283" s="43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</row>
    <row r="284" spans="7:93" x14ac:dyDescent="0.25">
      <c r="G284" s="11" t="s">
        <v>810</v>
      </c>
      <c r="H284" s="44"/>
      <c r="I284" s="43"/>
      <c r="J284" s="44"/>
      <c r="K284" s="43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</row>
    <row r="285" spans="7:93" x14ac:dyDescent="0.25">
      <c r="G285" s="11" t="s">
        <v>811</v>
      </c>
      <c r="H285" s="44"/>
      <c r="I285" s="43"/>
      <c r="J285" s="44"/>
      <c r="K285" s="43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</row>
    <row r="286" spans="7:93" x14ac:dyDescent="0.25">
      <c r="G286" s="11" t="s">
        <v>812</v>
      </c>
      <c r="H286" s="44"/>
      <c r="I286" s="43"/>
      <c r="J286" s="44"/>
      <c r="K286" s="43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</row>
    <row r="287" spans="7:93" x14ac:dyDescent="0.25">
      <c r="G287" s="11" t="s">
        <v>813</v>
      </c>
      <c r="H287" s="44"/>
      <c r="I287" s="43"/>
      <c r="J287" s="44"/>
      <c r="K287" s="43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</row>
    <row r="288" spans="7:93" x14ac:dyDescent="0.25">
      <c r="G288" s="11" t="s">
        <v>814</v>
      </c>
      <c r="H288" s="44"/>
      <c r="I288" s="43"/>
      <c r="J288" s="44"/>
      <c r="K288" s="43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</row>
    <row r="289" spans="7:93" x14ac:dyDescent="0.25">
      <c r="G289" s="11" t="s">
        <v>815</v>
      </c>
      <c r="H289" s="44"/>
      <c r="I289" s="43"/>
      <c r="J289" s="44"/>
      <c r="K289" s="43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</row>
    <row r="290" spans="7:93" x14ac:dyDescent="0.25">
      <c r="G290" s="11" t="s">
        <v>816</v>
      </c>
      <c r="H290" s="44"/>
      <c r="I290" s="43"/>
      <c r="J290" s="44"/>
      <c r="K290" s="43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</row>
    <row r="291" spans="7:93" x14ac:dyDescent="0.25">
      <c r="G291" s="11" t="s">
        <v>817</v>
      </c>
      <c r="H291" s="44"/>
      <c r="I291" s="43"/>
      <c r="J291" s="44"/>
      <c r="K291" s="43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</row>
    <row r="292" spans="7:93" x14ac:dyDescent="0.25">
      <c r="G292" s="11" t="s">
        <v>818</v>
      </c>
      <c r="H292" s="44"/>
      <c r="I292" s="43"/>
      <c r="J292" s="44"/>
      <c r="K292" s="43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</row>
    <row r="293" spans="7:93" x14ac:dyDescent="0.25">
      <c r="G293" s="11" t="s">
        <v>819</v>
      </c>
      <c r="H293" s="44"/>
      <c r="I293" s="43"/>
      <c r="J293" s="44"/>
      <c r="K293" s="43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</row>
    <row r="294" spans="7:93" x14ac:dyDescent="0.25">
      <c r="G294" s="11" t="s">
        <v>820</v>
      </c>
      <c r="H294" s="44"/>
      <c r="I294" s="43"/>
      <c r="J294" s="44"/>
      <c r="K294" s="43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</row>
    <row r="295" spans="7:93" x14ac:dyDescent="0.25">
      <c r="G295" s="11" t="s">
        <v>821</v>
      </c>
      <c r="H295" s="44"/>
      <c r="I295" s="43"/>
      <c r="J295" s="44"/>
      <c r="K295" s="43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</row>
    <row r="296" spans="7:93" x14ac:dyDescent="0.25">
      <c r="G296" s="11" t="s">
        <v>822</v>
      </c>
      <c r="H296" s="44"/>
      <c r="I296" s="43"/>
      <c r="J296" s="44"/>
      <c r="K296" s="43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</row>
    <row r="297" spans="7:93" x14ac:dyDescent="0.25">
      <c r="G297" s="11" t="s">
        <v>823</v>
      </c>
      <c r="H297" s="44"/>
      <c r="I297" s="43"/>
      <c r="J297" s="44"/>
      <c r="K297" s="43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</row>
    <row r="298" spans="7:93" x14ac:dyDescent="0.25">
      <c r="G298" s="11" t="s">
        <v>824</v>
      </c>
      <c r="H298" s="44"/>
      <c r="I298" s="43"/>
      <c r="J298" s="44"/>
      <c r="K298" s="43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</row>
    <row r="299" spans="7:93" x14ac:dyDescent="0.25">
      <c r="G299" s="11" t="s">
        <v>825</v>
      </c>
      <c r="H299" s="44"/>
      <c r="I299" s="43"/>
      <c r="J299" s="44"/>
      <c r="K299" s="43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</row>
    <row r="300" spans="7:93" x14ac:dyDescent="0.25">
      <c r="G300" s="11" t="s">
        <v>826</v>
      </c>
      <c r="H300" s="44"/>
      <c r="I300" s="43"/>
      <c r="J300" s="44"/>
      <c r="K300" s="43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</row>
    <row r="301" spans="7:93" x14ac:dyDescent="0.25">
      <c r="G301" s="11" t="s">
        <v>827</v>
      </c>
      <c r="H301" s="44"/>
      <c r="I301" s="43"/>
      <c r="J301" s="44"/>
      <c r="K301" s="43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</row>
    <row r="302" spans="7:93" x14ac:dyDescent="0.25">
      <c r="G302" s="11" t="s">
        <v>828</v>
      </c>
      <c r="H302" s="44"/>
      <c r="I302" s="43"/>
      <c r="J302" s="44"/>
      <c r="K302" s="43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</row>
    <row r="303" spans="7:93" x14ac:dyDescent="0.25">
      <c r="G303" s="11" t="s">
        <v>829</v>
      </c>
      <c r="H303" s="44"/>
      <c r="I303" s="43"/>
      <c r="J303" s="44"/>
      <c r="K303" s="43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</row>
    <row r="304" spans="7:93" x14ac:dyDescent="0.25">
      <c r="G304" s="11" t="s">
        <v>830</v>
      </c>
      <c r="H304" s="44"/>
      <c r="I304" s="43"/>
      <c r="J304" s="44"/>
      <c r="K304" s="43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</row>
    <row r="305" spans="7:93" x14ac:dyDescent="0.25">
      <c r="G305" s="11" t="s">
        <v>831</v>
      </c>
      <c r="H305" s="44"/>
      <c r="I305" s="43"/>
      <c r="J305" s="44"/>
      <c r="K305" s="43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</row>
    <row r="306" spans="7:93" x14ac:dyDescent="0.25">
      <c r="G306" s="11" t="s">
        <v>832</v>
      </c>
      <c r="H306" s="44"/>
      <c r="I306" s="43"/>
      <c r="J306" s="44"/>
      <c r="K306" s="43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</row>
    <row r="307" spans="7:93" x14ac:dyDescent="0.25">
      <c r="G307" s="11" t="s">
        <v>833</v>
      </c>
      <c r="H307" s="44"/>
      <c r="I307" s="43"/>
      <c r="J307" s="44"/>
      <c r="K307" s="43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</row>
    <row r="308" spans="7:93" x14ac:dyDescent="0.25">
      <c r="G308" s="11" t="s">
        <v>834</v>
      </c>
      <c r="H308" s="44"/>
      <c r="I308" s="43"/>
      <c r="J308" s="44"/>
      <c r="K308" s="43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</row>
    <row r="309" spans="7:93" x14ac:dyDescent="0.25">
      <c r="G309" s="11" t="s">
        <v>835</v>
      </c>
      <c r="H309" s="44"/>
      <c r="I309" s="43"/>
      <c r="J309" s="44"/>
      <c r="K309" s="43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</row>
    <row r="310" spans="7:93" x14ac:dyDescent="0.25">
      <c r="G310" s="11" t="s">
        <v>836</v>
      </c>
      <c r="H310" s="44"/>
      <c r="I310" s="43"/>
      <c r="J310" s="44"/>
      <c r="K310" s="43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</row>
    <row r="311" spans="7:93" x14ac:dyDescent="0.25">
      <c r="G311" s="11" t="s">
        <v>837</v>
      </c>
      <c r="H311" s="44"/>
      <c r="I311" s="43"/>
      <c r="J311" s="44"/>
      <c r="K311" s="43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</row>
    <row r="312" spans="7:93" x14ac:dyDescent="0.25">
      <c r="H312" s="44"/>
      <c r="I312" s="43"/>
      <c r="J312" s="44"/>
      <c r="K312" s="43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</row>
    <row r="313" spans="7:93" x14ac:dyDescent="0.25"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</row>
    <row r="314" spans="7:93" x14ac:dyDescent="0.25"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</row>
    <row r="315" spans="7:93" x14ac:dyDescent="0.25"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</row>
    <row r="316" spans="7:93" x14ac:dyDescent="0.25"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</row>
    <row r="317" spans="7:93" x14ac:dyDescent="0.25"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</row>
    <row r="318" spans="7:93" x14ac:dyDescent="0.25"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</row>
    <row r="319" spans="7:93" x14ac:dyDescent="0.25"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</row>
    <row r="320" spans="7:93" x14ac:dyDescent="0.25"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</row>
    <row r="321" spans="8:93" x14ac:dyDescent="0.25"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</row>
    <row r="322" spans="8:93" x14ac:dyDescent="0.25"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</row>
    <row r="323" spans="8:93" x14ac:dyDescent="0.25"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</row>
    <row r="324" spans="8:93" x14ac:dyDescent="0.25"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</row>
    <row r="325" spans="8:93" x14ac:dyDescent="0.25"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</row>
    <row r="326" spans="8:93" x14ac:dyDescent="0.25"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</row>
    <row r="327" spans="8:93" x14ac:dyDescent="0.25"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</row>
    <row r="328" spans="8:93" x14ac:dyDescent="0.25"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</row>
    <row r="329" spans="8:93" x14ac:dyDescent="0.25"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</row>
    <row r="330" spans="8:93" x14ac:dyDescent="0.25"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</row>
    <row r="331" spans="8:93" x14ac:dyDescent="0.25"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</row>
    <row r="332" spans="8:93" x14ac:dyDescent="0.25"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</row>
    <row r="333" spans="8:93" x14ac:dyDescent="0.25"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</row>
    <row r="334" spans="8:93" x14ac:dyDescent="0.25"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</row>
    <row r="335" spans="8:93" x14ac:dyDescent="0.25"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</row>
    <row r="336" spans="8:93" x14ac:dyDescent="0.25"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</row>
    <row r="337" spans="8:93" x14ac:dyDescent="0.25"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</row>
    <row r="338" spans="8:93" x14ac:dyDescent="0.25"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</row>
    <row r="339" spans="8:93" x14ac:dyDescent="0.25"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</row>
    <row r="340" spans="8:93" x14ac:dyDescent="0.25"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</row>
    <row r="341" spans="8:93" x14ac:dyDescent="0.25"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</row>
    <row r="342" spans="8:93" x14ac:dyDescent="0.25"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</row>
    <row r="343" spans="8:93" x14ac:dyDescent="0.25"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</row>
    <row r="344" spans="8:93" x14ac:dyDescent="0.25"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</row>
    <row r="345" spans="8:93" x14ac:dyDescent="0.25"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</row>
    <row r="346" spans="8:93" x14ac:dyDescent="0.25"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</row>
    <row r="347" spans="8:93" x14ac:dyDescent="0.25"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</row>
    <row r="348" spans="8:93" x14ac:dyDescent="0.25"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</row>
    <row r="349" spans="8:93" x14ac:dyDescent="0.25"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</row>
    <row r="350" spans="8:93" x14ac:dyDescent="0.25"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</row>
    <row r="351" spans="8:93" x14ac:dyDescent="0.25"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</row>
    <row r="352" spans="8:93" x14ac:dyDescent="0.25"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</row>
    <row r="353" spans="8:93" x14ac:dyDescent="0.25"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</row>
    <row r="354" spans="8:93" x14ac:dyDescent="0.25"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</row>
    <row r="355" spans="8:93" x14ac:dyDescent="0.25"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</row>
    <row r="356" spans="8:93" x14ac:dyDescent="0.25"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</row>
    <row r="357" spans="8:93" x14ac:dyDescent="0.25"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</row>
    <row r="358" spans="8:93" x14ac:dyDescent="0.25"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</row>
    <row r="359" spans="8:93" x14ac:dyDescent="0.25"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</row>
    <row r="360" spans="8:93" x14ac:dyDescent="0.25"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</row>
    <row r="361" spans="8:93" x14ac:dyDescent="0.25"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</row>
    <row r="362" spans="8:93" x14ac:dyDescent="0.25"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</row>
    <row r="363" spans="8:93" x14ac:dyDescent="0.25"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</row>
    <row r="364" spans="8:93" x14ac:dyDescent="0.25"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</row>
    <row r="365" spans="8:93" x14ac:dyDescent="0.25"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</row>
    <row r="366" spans="8:93" x14ac:dyDescent="0.25"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</row>
    <row r="367" spans="8:93" x14ac:dyDescent="0.25"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</row>
    <row r="368" spans="8:93" x14ac:dyDescent="0.25"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</row>
    <row r="369" spans="88:93" x14ac:dyDescent="0.25">
      <c r="CJ369" s="42"/>
      <c r="CK369" s="42"/>
      <c r="CL369" s="42"/>
      <c r="CM369" s="42"/>
      <c r="CN369" s="42"/>
      <c r="CO369" s="42"/>
    </row>
    <row r="370" spans="88:93" x14ac:dyDescent="0.25">
      <c r="CJ370" s="42"/>
      <c r="CK370" s="42"/>
      <c r="CL370" s="42"/>
      <c r="CM370" s="42"/>
      <c r="CN370" s="42"/>
      <c r="CO370" s="42"/>
    </row>
  </sheetData>
  <sheetProtection algorithmName="SHA-512" hashValue="xGgSGC+SMq37EyuOvCiPdG9SQNSd3EtBkOM2CkYuphUnHecjGPfWu2+eUXnd8lkUasAsjGlC/tJyzHk2WdM7kg==" saltValue="3+5OGwgK99/wnIW4hj32bw==" spinCount="100000" sheet="1" objects="1" scenarios="1" selectLockedCells="1"/>
  <mergeCells count="1">
    <mergeCell ref="C3:E3"/>
  </mergeCells>
  <phoneticPr fontId="5" type="noConversion"/>
  <conditionalFormatting sqref="H5:CO5">
    <cfRule type="cellIs" dxfId="98" priority="1" operator="greaterThan">
      <formula>0</formula>
    </cfRule>
    <cfRule type="cellIs" dxfId="97" priority="2" operator="lessThan">
      <formula>0</formula>
    </cfRule>
  </conditionalFormatting>
  <pageMargins left="1.299212598425197" right="0.9055118110236221" top="0.78740157480314965" bottom="0.78740157480314965" header="0.31496062992125984" footer="0.31496062992125984"/>
  <pageSetup paperSize="9" scale="97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6D173-630E-4A0F-A6BA-0A218DA6A957}">
          <x14:formula1>
            <xm:f>'Base de dados'!$G$1:$J$1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7647-20D3-4A0F-8879-12045BC5FB9B}">
  <dimension ref="A1:Z322"/>
  <sheetViews>
    <sheetView zoomScaleNormal="100" workbookViewId="0">
      <selection activeCell="C9" sqref="C9"/>
    </sheetView>
  </sheetViews>
  <sheetFormatPr defaultRowHeight="15" x14ac:dyDescent="0.25"/>
  <cols>
    <col min="1" max="1" width="9.5703125" style="27" customWidth="1"/>
    <col min="2" max="2" width="12.85546875" style="27" bestFit="1" customWidth="1"/>
    <col min="3" max="3" width="22" style="27" bestFit="1" customWidth="1"/>
    <col min="4" max="4" width="18.28515625" style="27" bestFit="1" customWidth="1"/>
    <col min="5" max="5" width="16.7109375" style="27" bestFit="1" customWidth="1"/>
    <col min="6" max="7" width="9.140625" style="27"/>
    <col min="8" max="8" width="9.140625" style="47"/>
    <col min="9" max="9" width="11.42578125" style="58" bestFit="1" customWidth="1"/>
    <col min="10" max="15" width="11.42578125" style="58" customWidth="1"/>
    <col min="16" max="16" width="6.140625" style="47" bestFit="1" customWidth="1"/>
    <col min="17" max="26" width="9.140625" style="47"/>
    <col min="27" max="16384" width="9.140625" style="27"/>
  </cols>
  <sheetData>
    <row r="1" spans="1:25" x14ac:dyDescent="0.25">
      <c r="G1" s="47"/>
    </row>
    <row r="2" spans="1:25" s="85" customFormat="1" x14ac:dyDescent="0.25">
      <c r="A2" s="27"/>
      <c r="B2" s="27"/>
      <c r="C2" s="27"/>
      <c r="D2" s="27"/>
      <c r="E2" s="27"/>
      <c r="F2" s="27"/>
      <c r="G2" s="27"/>
      <c r="H2" s="82" t="s">
        <v>859</v>
      </c>
      <c r="I2" s="83" t="e">
        <f>C16*0.9</f>
        <v>#VALUE!</v>
      </c>
      <c r="J2" s="84">
        <f>COUNTIF('Gráficos Semanais'!$I$10:$I$309,"&lt;="&amp;I2)</f>
        <v>0</v>
      </c>
      <c r="K2" s="84"/>
      <c r="L2" s="84"/>
      <c r="M2" s="84"/>
      <c r="N2" s="84"/>
      <c r="O2" s="84"/>
    </row>
    <row r="3" spans="1:25" s="85" customFormat="1" x14ac:dyDescent="0.25">
      <c r="A3" s="27"/>
      <c r="B3" s="27"/>
      <c r="C3" s="27"/>
      <c r="D3" s="27"/>
      <c r="E3" s="27"/>
      <c r="F3" s="27"/>
      <c r="G3" s="27"/>
      <c r="H3" s="85" t="s">
        <v>844</v>
      </c>
      <c r="J3" s="84">
        <f>COUNT('Gráficos Semanais'!$I$10:$I$309)-SUM(J2,J4)</f>
        <v>0</v>
      </c>
      <c r="K3" s="84"/>
      <c r="L3" s="84"/>
      <c r="M3" s="84"/>
      <c r="N3" s="84"/>
      <c r="O3" s="84"/>
    </row>
    <row r="4" spans="1:25" s="85" customFormat="1" x14ac:dyDescent="0.25">
      <c r="A4" s="27"/>
      <c r="B4" s="27"/>
      <c r="C4" s="27"/>
      <c r="D4" s="27"/>
      <c r="E4" s="27"/>
      <c r="F4" s="27"/>
      <c r="G4" s="27"/>
      <c r="H4" s="82" t="s">
        <v>860</v>
      </c>
      <c r="I4" s="83" t="e">
        <f>C16*1.1</f>
        <v>#VALUE!</v>
      </c>
      <c r="J4" s="84">
        <f>COUNTIF('Gráficos Semanais'!$I$10:$I$309,"&gt;="&amp;I4)</f>
        <v>0</v>
      </c>
      <c r="K4" s="84"/>
      <c r="L4" s="84"/>
      <c r="M4" s="84"/>
      <c r="N4" s="84"/>
      <c r="O4" s="84"/>
    </row>
    <row r="5" spans="1:25" s="85" customFormat="1" x14ac:dyDescent="0.25">
      <c r="A5" s="27"/>
      <c r="B5" s="27"/>
      <c r="C5" s="27"/>
      <c r="D5" s="27"/>
      <c r="E5" s="27"/>
      <c r="F5" s="27"/>
      <c r="G5" s="47"/>
      <c r="I5" s="84"/>
      <c r="J5" s="84"/>
      <c r="K5" s="84"/>
      <c r="L5" s="84"/>
      <c r="M5" s="84"/>
      <c r="N5" s="84"/>
      <c r="O5" s="84"/>
    </row>
    <row r="6" spans="1:25" s="85" customFormat="1" ht="18.75" x14ac:dyDescent="0.25">
      <c r="A6" s="27"/>
      <c r="B6" s="7" t="s">
        <v>0</v>
      </c>
      <c r="C6" s="98" t="s">
        <v>877</v>
      </c>
      <c r="D6" s="99"/>
      <c r="E6" s="100"/>
      <c r="F6" s="27"/>
      <c r="G6" s="47"/>
      <c r="I6" s="84"/>
      <c r="J6" s="84"/>
      <c r="K6" s="84"/>
      <c r="L6" s="84"/>
      <c r="M6" s="84"/>
      <c r="N6" s="84"/>
      <c r="O6" s="84"/>
    </row>
    <row r="7" spans="1:25" s="85" customFormat="1" x14ac:dyDescent="0.25">
      <c r="A7" s="27"/>
      <c r="B7" s="22" t="s">
        <v>856</v>
      </c>
      <c r="C7" s="10">
        <v>44777</v>
      </c>
      <c r="D7" s="8" t="s">
        <v>315</v>
      </c>
      <c r="E7" s="9">
        <v>50000</v>
      </c>
      <c r="F7" s="27"/>
      <c r="G7" s="27"/>
      <c r="I7" s="84"/>
      <c r="J7" s="84"/>
      <c r="K7" s="84"/>
      <c r="L7" s="84"/>
      <c r="M7" s="84"/>
      <c r="N7" s="84"/>
      <c r="O7" s="84"/>
    </row>
    <row r="8" spans="1:25" s="85" customFormat="1" x14ac:dyDescent="0.25">
      <c r="A8" s="27"/>
      <c r="B8" s="7" t="s">
        <v>1</v>
      </c>
      <c r="C8" s="45" t="s">
        <v>877</v>
      </c>
      <c r="D8" s="7" t="s">
        <v>5</v>
      </c>
      <c r="E8" s="39">
        <f ca="1">TODAY()</f>
        <v>45217</v>
      </c>
      <c r="F8" s="27"/>
      <c r="G8" s="27"/>
      <c r="I8" s="84"/>
      <c r="J8" s="84"/>
      <c r="K8" s="84"/>
      <c r="L8" s="84"/>
      <c r="M8" s="84"/>
      <c r="N8" s="84"/>
      <c r="O8" s="84"/>
    </row>
    <row r="9" spans="1:25" s="85" customFormat="1" ht="23.25" x14ac:dyDescent="0.25">
      <c r="A9" s="27"/>
      <c r="B9" s="7" t="s">
        <v>2</v>
      </c>
      <c r="C9" s="16" t="s">
        <v>524</v>
      </c>
      <c r="D9" s="13" t="s">
        <v>6</v>
      </c>
      <c r="E9" s="40">
        <f ca="1">(E8-C7)/7</f>
        <v>62.857142857142854</v>
      </c>
      <c r="F9" s="27"/>
      <c r="G9" s="27"/>
      <c r="H9" s="86" t="s">
        <v>853</v>
      </c>
      <c r="I9" s="86" t="s">
        <v>875</v>
      </c>
      <c r="J9" s="84"/>
      <c r="K9" s="84" t="s">
        <v>870</v>
      </c>
      <c r="L9" s="84" t="s">
        <v>875</v>
      </c>
      <c r="M9" s="84" t="s">
        <v>847</v>
      </c>
      <c r="N9" s="84" t="s">
        <v>871</v>
      </c>
      <c r="O9" s="84" t="s">
        <v>872</v>
      </c>
      <c r="P9" s="87" t="s">
        <v>863</v>
      </c>
      <c r="Q9" s="88">
        <f>MIN(I10:I309)-0.00000001</f>
        <v>-1E-8</v>
      </c>
      <c r="R9" s="88">
        <f>ROUNDDOWN(Q9,1)</f>
        <v>0</v>
      </c>
      <c r="S9" s="87"/>
      <c r="T9" s="87" t="s">
        <v>864</v>
      </c>
      <c r="U9" s="87"/>
      <c r="V9" s="87"/>
      <c r="W9" s="87"/>
      <c r="X9" s="89" t="str">
        <f>CONCATENATE(FIXED(R9,0),"–",FIXED(T12,0))</f>
        <v>0–0</v>
      </c>
      <c r="Y9" s="90">
        <f t="shared" ref="Y9:Y18" si="0">COUNTIF($I$10:$I$309,"&lt;"&amp;T12)-COUNTIF($I$10:$I$309,"&lt;"&amp;T11)</f>
        <v>0</v>
      </c>
    </row>
    <row r="10" spans="1:25" s="85" customFormat="1" x14ac:dyDescent="0.25">
      <c r="A10" s="27"/>
      <c r="B10" s="12" t="s">
        <v>3</v>
      </c>
      <c r="C10" s="1" t="s">
        <v>877</v>
      </c>
      <c r="D10" s="27"/>
      <c r="E10" s="27"/>
      <c r="F10" s="27"/>
      <c r="G10" s="27"/>
      <c r="H10" s="86" t="s">
        <v>15</v>
      </c>
      <c r="I10" s="86" t="str">
        <f>IF(VLOOKUP('Gráficos Semanais'!$H10,AVES!$G$1:$DF$311,(MATCH('Gráficos Semanais'!$D$12,AVES!$H$1:$DF$1,0))+1,0)="","",VLOOKUP('Gráficos Semanais'!$H10,AVES!$G$1:$DF$311,(MATCH('Gráficos Semanais'!$D$12,AVES!$H$1:$DF$1,0))+1,0))</f>
        <v/>
      </c>
      <c r="J10" s="84"/>
      <c r="K10" s="84" t="s">
        <v>538</v>
      </c>
      <c r="L10" s="84" t="e">
        <f>IF(VLOOKUP('Gráficos Semanais'!$K10,' OVOS'!$G$1:$DF$311,(MATCH('Gráficos Semanais'!$D$12,' OVOS'!$H$1:$DF$1,0))+1,0)="","",VLOOKUP('Gráficos Semanais'!$K10,' OVOS'!$G$1:$DF$311,(MATCH('Gráficos Semanais'!$D$12,' OVOS'!$H$1:$DF$1,0))+1,0))</f>
        <v>#N/A</v>
      </c>
      <c r="M10" s="84" t="e" cm="1">
        <f t="array" ref="M10">_xlfn.IFS(L10="","",L10&lt;='Base de dados'!$K$2,'Base de dados'!$K$1,L10&lt;='Base de dados'!$L$3,'Base de dados'!$L$1,L10&lt;='Base de dados'!$M$3,'Base de dados'!$M$1,L10&gt;='Base de dados'!$N$2,'Base de dados'!$N$1)</f>
        <v>#N/A</v>
      </c>
      <c r="N10" s="84" t="s">
        <v>533</v>
      </c>
      <c r="O10" s="84">
        <f>COUNTIF($M$10:$M$309,N10)</f>
        <v>0</v>
      </c>
      <c r="P10" s="87" t="s">
        <v>865</v>
      </c>
      <c r="Q10" s="88">
        <f>MAX(I10:I309)+0.00000001</f>
        <v>1E-8</v>
      </c>
      <c r="R10" s="88">
        <f>ROUNDUP(Q10,1)</f>
        <v>0.1</v>
      </c>
      <c r="S10" s="87"/>
      <c r="T10" s="89" t="s">
        <v>866</v>
      </c>
      <c r="U10" s="89" t="s">
        <v>862</v>
      </c>
      <c r="V10" s="87"/>
      <c r="W10" s="87"/>
      <c r="X10" s="89" t="str">
        <f t="shared" ref="X10:X18" si="1">CONCATENATE(FIXED(T12,0),"–",FIXED(T13,0))</f>
        <v>0–0</v>
      </c>
      <c r="Y10" s="90">
        <f t="shared" si="0"/>
        <v>0</v>
      </c>
    </row>
    <row r="11" spans="1:25" s="85" customFormat="1" x14ac:dyDescent="0.25">
      <c r="A11" s="27"/>
      <c r="B11" s="27"/>
      <c r="C11" s="27"/>
      <c r="D11" s="27"/>
      <c r="E11" s="27"/>
      <c r="F11" s="27"/>
      <c r="G11" s="27"/>
      <c r="H11" s="86" t="s">
        <v>16</v>
      </c>
      <c r="I11" s="86" t="str">
        <f>IF(VLOOKUP('Gráficos Semanais'!$H11,AVES!$G$1:$DF$311,(MATCH('Gráficos Semanais'!$D$12,AVES!$H$1:$DF$1,0))+1,0)="","",VLOOKUP('Gráficos Semanais'!$H11,AVES!$G$1:$DF$311,(MATCH('Gráficos Semanais'!$D$12,AVES!$H$1:$DF$1,0))+1,0))</f>
        <v/>
      </c>
      <c r="J11" s="84"/>
      <c r="K11" s="84" t="s">
        <v>539</v>
      </c>
      <c r="L11" s="84" t="e">
        <f>IF(VLOOKUP('Gráficos Semanais'!$K11,' OVOS'!$G$1:$DF$311,(MATCH('Gráficos Semanais'!$D$12,' OVOS'!$H$1:$DF$1,0))+1,0)="","",VLOOKUP('Gráficos Semanais'!$K11,' OVOS'!$G$1:$DF$311,(MATCH('Gráficos Semanais'!$D$12,' OVOS'!$H$1:$DF$1,0))+1,0))</f>
        <v>#N/A</v>
      </c>
      <c r="M11" s="84" t="e" cm="1">
        <f t="array" ref="M11">_xlfn.IFS(L11="","",L11&lt;='Base de dados'!$K$2,'Base de dados'!$K$1,L11&lt;='Base de dados'!$L$3,'Base de dados'!$L$1,L11&lt;='Base de dados'!$M$3,'Base de dados'!$M$1,L11&gt;='Base de dados'!$N$2,'Base de dados'!$N$1)</f>
        <v>#N/A</v>
      </c>
      <c r="N11" s="84" t="s">
        <v>534</v>
      </c>
      <c r="O11" s="84">
        <f t="shared" ref="O11:O13" si="2">COUNTIF($M$10:$M$309,N11)</f>
        <v>0</v>
      </c>
      <c r="P11" s="87" t="s">
        <v>867</v>
      </c>
      <c r="Q11" s="91" t="e">
        <f>ROUND((C16-Q9)/5,3)</f>
        <v>#VALUE!</v>
      </c>
      <c r="R11" s="91">
        <f>ROUND((R10-R9)/10,3)</f>
        <v>0.01</v>
      </c>
      <c r="S11" s="87"/>
      <c r="T11" s="90">
        <f>R9</f>
        <v>0</v>
      </c>
      <c r="U11" s="92" t="e">
        <f t="shared" ref="U11:U21" si="3">NORMDIST(T11,$C$16,$Q$13,FALSE)</f>
        <v>#VALUE!</v>
      </c>
      <c r="V11" s="87"/>
      <c r="W11" s="87"/>
      <c r="X11" s="89" t="str">
        <f t="shared" si="1"/>
        <v>0–0</v>
      </c>
      <c r="Y11" s="90">
        <f t="shared" si="0"/>
        <v>0</v>
      </c>
    </row>
    <row r="12" spans="1:25" s="85" customFormat="1" x14ac:dyDescent="0.25">
      <c r="A12" s="27"/>
      <c r="B12" s="27"/>
      <c r="C12" s="101" t="s">
        <v>858</v>
      </c>
      <c r="D12" s="102" t="s">
        <v>424</v>
      </c>
      <c r="E12" s="27"/>
      <c r="F12" s="27"/>
      <c r="G12" s="27"/>
      <c r="H12" s="86" t="s">
        <v>17</v>
      </c>
      <c r="I12" s="86" t="str">
        <f>IF(VLOOKUP('Gráficos Semanais'!$H12,AVES!$G$1:$DF$311,(MATCH('Gráficos Semanais'!$D$12,AVES!$H$1:$DF$1,0))+1,0)="","",VLOOKUP('Gráficos Semanais'!$H12,AVES!$G$1:$DF$311,(MATCH('Gráficos Semanais'!$D$12,AVES!$H$1:$DF$1,0))+1,0))</f>
        <v/>
      </c>
      <c r="J12" s="84"/>
      <c r="K12" s="84" t="s">
        <v>540</v>
      </c>
      <c r="L12" s="84" t="e">
        <f>IF(VLOOKUP('Gráficos Semanais'!$K12,' OVOS'!$G$1:$DF$311,(MATCH('Gráficos Semanais'!$D$12,' OVOS'!$H$1:$DF$1,0))+1,0)="","",VLOOKUP('Gráficos Semanais'!$K12,' OVOS'!$G$1:$DF$311,(MATCH('Gráficos Semanais'!$D$12,' OVOS'!$H$1:$DF$1,0))+1,0))</f>
        <v>#N/A</v>
      </c>
      <c r="M12" s="84" t="e" cm="1">
        <f t="array" ref="M12">_xlfn.IFS(L12="","",L12&lt;='Base de dados'!$K$2,'Base de dados'!$K$1,L12&lt;='Base de dados'!$L$3,'Base de dados'!$L$1,L12&lt;='Base de dados'!$M$3,'Base de dados'!$M$1,L12&gt;='Base de dados'!$N$2,'Base de dados'!$N$1)</f>
        <v>#N/A</v>
      </c>
      <c r="N12" s="84" t="s">
        <v>535</v>
      </c>
      <c r="O12" s="84">
        <f>COUNTIF($M$10:$M$309,N12)</f>
        <v>0</v>
      </c>
      <c r="P12" s="87"/>
      <c r="Q12" s="87"/>
      <c r="R12" s="87"/>
      <c r="S12" s="87"/>
      <c r="T12" s="90">
        <f t="shared" ref="T12:T21" si="4">T11+$R$11</f>
        <v>0.01</v>
      </c>
      <c r="U12" s="92" t="e">
        <f t="shared" si="3"/>
        <v>#VALUE!</v>
      </c>
      <c r="V12" s="87"/>
      <c r="W12" s="87"/>
      <c r="X12" s="89" t="str">
        <f t="shared" si="1"/>
        <v>0–0</v>
      </c>
      <c r="Y12" s="90">
        <f t="shared" si="0"/>
        <v>0</v>
      </c>
    </row>
    <row r="13" spans="1:25" s="85" customFormat="1" x14ac:dyDescent="0.25">
      <c r="A13" s="27"/>
      <c r="B13" s="27"/>
      <c r="C13" s="101"/>
      <c r="D13" s="103"/>
      <c r="E13" s="27"/>
      <c r="F13" s="27"/>
      <c r="G13" s="27"/>
      <c r="H13" s="86" t="s">
        <v>18</v>
      </c>
      <c r="I13" s="86" t="str">
        <f>IF(VLOOKUP('Gráficos Semanais'!$H13,AVES!$G$1:$DF$311,(MATCH('Gráficos Semanais'!$D$12,AVES!$H$1:$DF$1,0))+1,0)="","",VLOOKUP('Gráficos Semanais'!$H13,AVES!$G$1:$DF$311,(MATCH('Gráficos Semanais'!$D$12,AVES!$H$1:$DF$1,0))+1,0))</f>
        <v/>
      </c>
      <c r="J13" s="84"/>
      <c r="K13" s="84" t="s">
        <v>541</v>
      </c>
      <c r="L13" s="84" t="e">
        <f>IF(VLOOKUP('Gráficos Semanais'!$K13,' OVOS'!$G$1:$DF$311,(MATCH('Gráficos Semanais'!$D$12,' OVOS'!$H$1:$DF$1,0))+1,0)="","",VLOOKUP('Gráficos Semanais'!$K13,' OVOS'!$G$1:$DF$311,(MATCH('Gráficos Semanais'!$D$12,' OVOS'!$H$1:$DF$1,0))+1,0))</f>
        <v>#N/A</v>
      </c>
      <c r="M13" s="84" t="e" cm="1">
        <f t="array" ref="M13">_xlfn.IFS(L13="","",L13&lt;='Base de dados'!$K$2,'Base de dados'!$K$1,L13&lt;='Base de dados'!$L$3,'Base de dados'!$L$1,L13&lt;='Base de dados'!$M$3,'Base de dados'!$M$1,L13&gt;='Base de dados'!$N$2,'Base de dados'!$N$1)</f>
        <v>#N/A</v>
      </c>
      <c r="N13" s="84" t="s">
        <v>536</v>
      </c>
      <c r="O13" s="84">
        <f t="shared" si="2"/>
        <v>0</v>
      </c>
      <c r="P13" s="87" t="s">
        <v>868</v>
      </c>
      <c r="Q13" s="93" t="e">
        <f>STDEV(I10:I309)</f>
        <v>#DIV/0!</v>
      </c>
      <c r="R13" s="87"/>
      <c r="S13" s="87"/>
      <c r="T13" s="90">
        <f t="shared" si="4"/>
        <v>0.02</v>
      </c>
      <c r="U13" s="92" t="e">
        <f t="shared" si="3"/>
        <v>#VALUE!</v>
      </c>
      <c r="V13" s="87"/>
      <c r="W13" s="87"/>
      <c r="X13" s="89" t="str">
        <f t="shared" si="1"/>
        <v>0–0</v>
      </c>
      <c r="Y13" s="90">
        <f t="shared" si="0"/>
        <v>0</v>
      </c>
    </row>
    <row r="14" spans="1:25" s="85" customFormat="1" x14ac:dyDescent="0.25">
      <c r="A14" s="27"/>
      <c r="B14" s="27"/>
      <c r="C14" s="27"/>
      <c r="D14" s="27"/>
      <c r="E14" s="27"/>
      <c r="F14" s="27"/>
      <c r="G14" s="27"/>
      <c r="H14" s="86" t="s">
        <v>19</v>
      </c>
      <c r="I14" s="86" t="str">
        <f>IF(VLOOKUP('Gráficos Semanais'!$H14,AVES!$G$1:$DF$311,(MATCH('Gráficos Semanais'!$D$12,AVES!$H$1:$DF$1,0))+1,0)="","",VLOOKUP('Gráficos Semanais'!$H14,AVES!$G$1:$DF$311,(MATCH('Gráficos Semanais'!$D$12,AVES!$H$1:$DF$1,0))+1,0))</f>
        <v/>
      </c>
      <c r="J14" s="84"/>
      <c r="K14" s="84" t="s">
        <v>542</v>
      </c>
      <c r="L14" s="84" t="e">
        <f>IF(VLOOKUP('Gráficos Semanais'!$K14,' OVOS'!$G$1:$DF$311,(MATCH('Gráficos Semanais'!$D$12,' OVOS'!$H$1:$DF$1,0))+1,0)="","",VLOOKUP('Gráficos Semanais'!$K14,' OVOS'!$G$1:$DF$311,(MATCH('Gráficos Semanais'!$D$12,' OVOS'!$H$1:$DF$1,0))+1,0))</f>
        <v>#N/A</v>
      </c>
      <c r="M14" s="84" t="e" cm="1">
        <f t="array" ref="M14">_xlfn.IFS(L14="","",L14&lt;='Base de dados'!$K$2,'Base de dados'!$K$1,L14&lt;='Base de dados'!$L$3,'Base de dados'!$L$1,L14&lt;='Base de dados'!$M$3,'Base de dados'!$M$1,L14&gt;='Base de dados'!$N$2,'Base de dados'!$N$1)</f>
        <v>#N/A</v>
      </c>
      <c r="N14" s="84"/>
      <c r="O14" s="84"/>
      <c r="P14" s="87"/>
      <c r="Q14" s="87"/>
      <c r="R14" s="87"/>
      <c r="S14" s="87"/>
      <c r="T14" s="90">
        <f t="shared" si="4"/>
        <v>0.03</v>
      </c>
      <c r="U14" s="92" t="e">
        <f t="shared" si="3"/>
        <v>#VALUE!</v>
      </c>
      <c r="V14" s="87"/>
      <c r="W14" s="87"/>
      <c r="X14" s="89" t="str">
        <f t="shared" si="1"/>
        <v>0–0</v>
      </c>
      <c r="Y14" s="90">
        <f t="shared" si="0"/>
        <v>0</v>
      </c>
    </row>
    <row r="15" spans="1:25" s="85" customFormat="1" x14ac:dyDescent="0.25">
      <c r="A15" s="27"/>
      <c r="B15" s="27"/>
      <c r="C15" s="27"/>
      <c r="D15" s="27"/>
      <c r="E15" s="27"/>
      <c r="F15" s="27"/>
      <c r="G15" s="27"/>
      <c r="H15" s="86" t="s">
        <v>20</v>
      </c>
      <c r="I15" s="86" t="str">
        <f>IF(VLOOKUP('Gráficos Semanais'!$H15,AVES!$G$1:$DF$311,(MATCH('Gráficos Semanais'!$D$12,AVES!$H$1:$DF$1,0))+1,0)="","",VLOOKUP('Gráficos Semanais'!$H15,AVES!$G$1:$DF$311,(MATCH('Gráficos Semanais'!$D$12,AVES!$H$1:$DF$1,0))+1,0))</f>
        <v/>
      </c>
      <c r="J15" s="84"/>
      <c r="K15" s="84" t="s">
        <v>543</v>
      </c>
      <c r="L15" s="84" t="e">
        <f>IF(VLOOKUP('Gráficos Semanais'!$K15,' OVOS'!$G$1:$DF$311,(MATCH('Gráficos Semanais'!$D$12,' OVOS'!$H$1:$DF$1,0))+1,0)="","",VLOOKUP('Gráficos Semanais'!$K15,' OVOS'!$G$1:$DF$311,(MATCH('Gráficos Semanais'!$D$12,' OVOS'!$H$1:$DF$1,0))+1,0))</f>
        <v>#N/A</v>
      </c>
      <c r="M15" s="84" t="e" cm="1">
        <f t="array" ref="M15">_xlfn.IFS(L15="","",L15&lt;='Base de dados'!$K$2,'Base de dados'!$K$1,L15&lt;='Base de dados'!$L$3,'Base de dados'!$L$1,L15&lt;='Base de dados'!$M$3,'Base de dados'!$M$1,L15&gt;='Base de dados'!$N$2,'Base de dados'!$N$1)</f>
        <v>#N/A</v>
      </c>
      <c r="N15" s="84"/>
      <c r="O15" s="84"/>
      <c r="P15" s="87"/>
      <c r="Q15" s="87"/>
      <c r="R15" s="87"/>
      <c r="S15" s="87"/>
      <c r="T15" s="90">
        <f t="shared" si="4"/>
        <v>0.04</v>
      </c>
      <c r="U15" s="92" t="e">
        <f t="shared" si="3"/>
        <v>#VALUE!</v>
      </c>
      <c r="V15" s="87"/>
      <c r="W15" s="87"/>
      <c r="X15" s="89" t="str">
        <f t="shared" si="1"/>
        <v>0–0</v>
      </c>
      <c r="Y15" s="90">
        <f t="shared" si="0"/>
        <v>0</v>
      </c>
    </row>
    <row r="16" spans="1:25" s="85" customFormat="1" ht="18.75" x14ac:dyDescent="0.3">
      <c r="A16" s="104" t="s">
        <v>876</v>
      </c>
      <c r="B16" s="54" t="s">
        <v>854</v>
      </c>
      <c r="C16" s="62" t="e">
        <f>ROUND(IFERROR(AVERAGE('Gráficos Semanais'!$I$10:$I$309),""),0)</f>
        <v>#VALUE!</v>
      </c>
      <c r="D16" s="27"/>
      <c r="E16" s="27"/>
      <c r="F16" s="27"/>
      <c r="G16" s="27"/>
      <c r="H16" s="86" t="s">
        <v>21</v>
      </c>
      <c r="I16" s="86" t="str">
        <f>IF(VLOOKUP('Gráficos Semanais'!$H16,AVES!$G$1:$DF$311,(MATCH('Gráficos Semanais'!$D$12,AVES!$H$1:$DF$1,0))+1,0)="","",VLOOKUP('Gráficos Semanais'!$H16,AVES!$G$1:$DF$311,(MATCH('Gráficos Semanais'!$D$12,AVES!$H$1:$DF$1,0))+1,0))</f>
        <v/>
      </c>
      <c r="J16" s="84"/>
      <c r="K16" s="84" t="s">
        <v>544</v>
      </c>
      <c r="L16" s="84" t="e">
        <f>IF(VLOOKUP('Gráficos Semanais'!$K16,' OVOS'!$G$1:$DF$311,(MATCH('Gráficos Semanais'!$D$12,' OVOS'!$H$1:$DF$1,0))+1,0)="","",VLOOKUP('Gráficos Semanais'!$K16,' OVOS'!$G$1:$DF$311,(MATCH('Gráficos Semanais'!$D$12,' OVOS'!$H$1:$DF$1,0))+1,0))</f>
        <v>#N/A</v>
      </c>
      <c r="M16" s="84" t="e" cm="1">
        <f t="array" ref="M16">_xlfn.IFS(L16="","",L16&lt;='Base de dados'!$K$2,'Base de dados'!$K$1,L16&lt;='Base de dados'!$L$3,'Base de dados'!$L$1,L16&lt;='Base de dados'!$M$3,'Base de dados'!$M$1,L16&gt;='Base de dados'!$N$2,'Base de dados'!$N$1)</f>
        <v>#N/A</v>
      </c>
      <c r="N16" s="84"/>
      <c r="O16" s="84"/>
      <c r="P16" s="87"/>
      <c r="Q16" s="87"/>
      <c r="R16" s="87"/>
      <c r="S16" s="87"/>
      <c r="T16" s="90">
        <f t="shared" si="4"/>
        <v>0.05</v>
      </c>
      <c r="U16" s="92" t="e">
        <f t="shared" si="3"/>
        <v>#VALUE!</v>
      </c>
      <c r="V16" s="87"/>
      <c r="W16" s="87"/>
      <c r="X16" s="89" t="str">
        <f t="shared" si="1"/>
        <v>0–0</v>
      </c>
      <c r="Y16" s="90">
        <f t="shared" si="0"/>
        <v>0</v>
      </c>
    </row>
    <row r="17" spans="1:25" s="85" customFormat="1" ht="18.75" x14ac:dyDescent="0.3">
      <c r="A17" s="104"/>
      <c r="B17" s="54" t="s">
        <v>855</v>
      </c>
      <c r="C17" s="53">
        <f>VLOOKUP(D12,'Base de dados'!B1:F104,MATCH('Gráficos Semanais'!C9,'Base de dados'!B1:F1,0),)</f>
        <v>245</v>
      </c>
      <c r="D17" s="27"/>
      <c r="E17" s="27"/>
      <c r="F17" s="27"/>
      <c r="G17" s="27"/>
      <c r="H17" s="86" t="s">
        <v>22</v>
      </c>
      <c r="I17" s="86" t="str">
        <f>IF(VLOOKUP('Gráficos Semanais'!$H17,AVES!$G$1:$DF$311,(MATCH('Gráficos Semanais'!$D$12,AVES!$H$1:$DF$1,0))+1,0)="","",VLOOKUP('Gráficos Semanais'!$H17,AVES!$G$1:$DF$311,(MATCH('Gráficos Semanais'!$D$12,AVES!$H$1:$DF$1,0))+1,0))</f>
        <v/>
      </c>
      <c r="J17" s="84"/>
      <c r="K17" s="84" t="s">
        <v>545</v>
      </c>
      <c r="L17" s="84" t="e">
        <f>IF(VLOOKUP('Gráficos Semanais'!$K17,' OVOS'!$G$1:$DF$311,(MATCH('Gráficos Semanais'!$D$12,' OVOS'!$H$1:$DF$1,0))+1,0)="","",VLOOKUP('Gráficos Semanais'!$K17,' OVOS'!$G$1:$DF$311,(MATCH('Gráficos Semanais'!$D$12,' OVOS'!$H$1:$DF$1,0))+1,0))</f>
        <v>#N/A</v>
      </c>
      <c r="M17" s="84" t="e" cm="1">
        <f t="array" ref="M17">_xlfn.IFS(L17="","",L17&lt;='Base de dados'!$K$2,'Base de dados'!$K$1,L17&lt;='Base de dados'!$L$3,'Base de dados'!$L$1,L17&lt;='Base de dados'!$M$3,'Base de dados'!$M$1,L17&gt;='Base de dados'!$N$2,'Base de dados'!$N$1)</f>
        <v>#N/A</v>
      </c>
      <c r="N17" s="84"/>
      <c r="O17" s="84"/>
      <c r="P17" s="87"/>
      <c r="Q17" s="87"/>
      <c r="R17" s="87"/>
      <c r="S17" s="87"/>
      <c r="T17" s="90">
        <f t="shared" si="4"/>
        <v>6.0000000000000005E-2</v>
      </c>
      <c r="U17" s="92" t="e">
        <f t="shared" si="3"/>
        <v>#VALUE!</v>
      </c>
      <c r="V17" s="87"/>
      <c r="W17" s="87"/>
      <c r="X17" s="89" t="str">
        <f t="shared" si="1"/>
        <v>0–0</v>
      </c>
      <c r="Y17" s="90">
        <f t="shared" si="0"/>
        <v>0</v>
      </c>
    </row>
    <row r="18" spans="1:25" s="85" customFormat="1" ht="18.75" x14ac:dyDescent="0.3">
      <c r="A18" s="104"/>
      <c r="B18" s="55" t="s">
        <v>861</v>
      </c>
      <c r="C18" s="48" t="str">
        <f>IFERROR((COUNT('Gráficos Semanais'!$I$10:$I$309)-SUM(COUNTIF('Gráficos Semanais'!$I$10:$I$309,"&lt;="&amp;C16*0.9),COUNTIF('Gráficos Semanais'!$I$10:$I$309,"&gt;="&amp;C16*1.1)))/COUNT('Gráficos Semanais'!$I$10:$I$309),"")</f>
        <v/>
      </c>
      <c r="D18" s="27"/>
      <c r="E18" s="27"/>
      <c r="F18" s="27"/>
      <c r="G18" s="27"/>
      <c r="H18" s="86" t="s">
        <v>23</v>
      </c>
      <c r="I18" s="86" t="str">
        <f>IF(VLOOKUP('Gráficos Semanais'!$H18,AVES!$G$1:$DF$311,(MATCH('Gráficos Semanais'!$D$12,AVES!$H$1:$DF$1,0))+1,0)="","",VLOOKUP('Gráficos Semanais'!$H18,AVES!$G$1:$DF$311,(MATCH('Gráficos Semanais'!$D$12,AVES!$H$1:$DF$1,0))+1,0))</f>
        <v/>
      </c>
      <c r="J18" s="84"/>
      <c r="K18" s="84" t="s">
        <v>546</v>
      </c>
      <c r="L18" s="84" t="e">
        <f>IF(VLOOKUP('Gráficos Semanais'!$K18,' OVOS'!$G$1:$DF$311,(MATCH('Gráficos Semanais'!$D$12,' OVOS'!$H$1:$DF$1,0))+1,0)="","",VLOOKUP('Gráficos Semanais'!$K18,' OVOS'!$G$1:$DF$311,(MATCH('Gráficos Semanais'!$D$12,' OVOS'!$H$1:$DF$1,0))+1,0))</f>
        <v>#N/A</v>
      </c>
      <c r="M18" s="84" t="e" cm="1">
        <f t="array" ref="M18">_xlfn.IFS(L18="","",L18&lt;='Base de dados'!$K$2,'Base de dados'!$K$1,L18&lt;='Base de dados'!$L$3,'Base de dados'!$L$1,L18&lt;='Base de dados'!$M$3,'Base de dados'!$M$1,L18&gt;='Base de dados'!$N$2,'Base de dados'!$N$1)</f>
        <v>#N/A</v>
      </c>
      <c r="N18" s="84"/>
      <c r="O18" s="84"/>
      <c r="P18" s="87"/>
      <c r="Q18" s="87"/>
      <c r="R18" s="87"/>
      <c r="S18" s="87"/>
      <c r="T18" s="90">
        <f t="shared" si="4"/>
        <v>7.0000000000000007E-2</v>
      </c>
      <c r="U18" s="92" t="e">
        <f t="shared" si="3"/>
        <v>#VALUE!</v>
      </c>
      <c r="V18" s="87"/>
      <c r="W18" s="87"/>
      <c r="X18" s="89" t="str">
        <f t="shared" si="1"/>
        <v>0–0</v>
      </c>
      <c r="Y18" s="90">
        <f t="shared" si="0"/>
        <v>0</v>
      </c>
    </row>
    <row r="19" spans="1:25" s="85" customFormat="1" x14ac:dyDescent="0.25">
      <c r="A19" s="27"/>
      <c r="B19" s="27"/>
      <c r="C19" s="63" t="str">
        <f>IFERROR(IF((C16-C17)/C17=0,"=",(C16-C17)/C17),"")</f>
        <v/>
      </c>
      <c r="D19" s="27"/>
      <c r="E19" s="27"/>
      <c r="F19" s="27"/>
      <c r="G19" s="27"/>
      <c r="H19" s="86" t="s">
        <v>24</v>
      </c>
      <c r="I19" s="86" t="str">
        <f>IF(VLOOKUP('Gráficos Semanais'!$H19,AVES!$G$1:$DF$311,(MATCH('Gráficos Semanais'!$D$12,AVES!$H$1:$DF$1,0))+1,0)="","",VLOOKUP('Gráficos Semanais'!$H19,AVES!$G$1:$DF$311,(MATCH('Gráficos Semanais'!$D$12,AVES!$H$1:$DF$1,0))+1,0))</f>
        <v/>
      </c>
      <c r="J19" s="84"/>
      <c r="K19" s="84" t="s">
        <v>547</v>
      </c>
      <c r="L19" s="84" t="e">
        <f>IF(VLOOKUP('Gráficos Semanais'!$K19,' OVOS'!$G$1:$DF$311,(MATCH('Gráficos Semanais'!$D$12,' OVOS'!$H$1:$DF$1,0))+1,0)="","",VLOOKUP('Gráficos Semanais'!$K19,' OVOS'!$G$1:$DF$311,(MATCH('Gráficos Semanais'!$D$12,' OVOS'!$H$1:$DF$1,0))+1,0))</f>
        <v>#N/A</v>
      </c>
      <c r="M19" s="84" t="e" cm="1">
        <f t="array" ref="M19">_xlfn.IFS(L19="","",L19&lt;='Base de dados'!$K$2,'Base de dados'!$K$1,L19&lt;='Base de dados'!$L$3,'Base de dados'!$L$1,L19&lt;='Base de dados'!$M$3,'Base de dados'!$M$1,L19&gt;='Base de dados'!$N$2,'Base de dados'!$N$1)</f>
        <v>#N/A</v>
      </c>
      <c r="N19" s="84"/>
      <c r="O19" s="84"/>
      <c r="P19" s="87"/>
      <c r="Q19" s="87"/>
      <c r="R19" s="87"/>
      <c r="S19" s="87"/>
      <c r="T19" s="90">
        <f t="shared" si="4"/>
        <v>0.08</v>
      </c>
      <c r="U19" s="92" t="e">
        <f t="shared" si="3"/>
        <v>#VALUE!</v>
      </c>
      <c r="V19" s="87"/>
      <c r="W19" s="87"/>
      <c r="X19" s="89"/>
      <c r="Y19" s="90"/>
    </row>
    <row r="20" spans="1:25" s="85" customFormat="1" ht="15" customHeight="1" x14ac:dyDescent="0.3">
      <c r="A20" s="104" t="s">
        <v>873</v>
      </c>
      <c r="B20" s="64" t="s">
        <v>854</v>
      </c>
      <c r="C20" s="66" t="str">
        <f>IFERROR(ROUND(IFERROR(AVERAGE('Gráficos Semanais'!$L$10:$L$309),""),0),"")</f>
        <v/>
      </c>
      <c r="D20" s="47"/>
      <c r="E20" s="47"/>
      <c r="F20" s="47"/>
      <c r="G20" s="47"/>
      <c r="H20" s="86" t="s">
        <v>25</v>
      </c>
      <c r="I20" s="86" t="str">
        <f>IF(VLOOKUP('Gráficos Semanais'!$H20,AVES!$G$1:$DF$311,(MATCH('Gráficos Semanais'!$D$12,AVES!$H$1:$DF$1,0))+1,0)="","",VLOOKUP('Gráficos Semanais'!$H20,AVES!$G$1:$DF$311,(MATCH('Gráficos Semanais'!$D$12,AVES!$H$1:$DF$1,0))+1,0))</f>
        <v/>
      </c>
      <c r="J20" s="84"/>
      <c r="K20" s="84" t="s">
        <v>548</v>
      </c>
      <c r="L20" s="84" t="e">
        <f>IF(VLOOKUP('Gráficos Semanais'!$K20,' OVOS'!$G$1:$DF$311,(MATCH('Gráficos Semanais'!$D$12,' OVOS'!$H$1:$DF$1,0))+1,0)="","",VLOOKUP('Gráficos Semanais'!$K20,' OVOS'!$G$1:$DF$311,(MATCH('Gráficos Semanais'!$D$12,' OVOS'!$H$1:$DF$1,0))+1,0))</f>
        <v>#N/A</v>
      </c>
      <c r="M20" s="84" t="e" cm="1">
        <f t="array" ref="M20">_xlfn.IFS(L20="","",L20&lt;='Base de dados'!$K$2,'Base de dados'!$K$1,L20&lt;='Base de dados'!$L$3,'Base de dados'!$L$1,L20&lt;='Base de dados'!$M$3,'Base de dados'!$M$1,L20&gt;='Base de dados'!$N$2,'Base de dados'!$N$1)</f>
        <v>#N/A</v>
      </c>
      <c r="N20" s="84"/>
      <c r="O20" s="84"/>
      <c r="P20" s="87"/>
      <c r="Q20" s="87"/>
      <c r="R20" s="87"/>
      <c r="S20" s="87"/>
      <c r="T20" s="90">
        <f t="shared" si="4"/>
        <v>0.09</v>
      </c>
      <c r="U20" s="92" t="e">
        <f t="shared" si="3"/>
        <v>#VALUE!</v>
      </c>
      <c r="V20" s="87"/>
      <c r="W20" s="87"/>
      <c r="X20" s="94" t="s">
        <v>869</v>
      </c>
      <c r="Y20" s="90">
        <f>SUM(Y9:Y18)</f>
        <v>0</v>
      </c>
    </row>
    <row r="21" spans="1:25" s="85" customFormat="1" ht="18.75" x14ac:dyDescent="0.3">
      <c r="A21" s="104"/>
      <c r="B21" s="64" t="s">
        <v>855</v>
      </c>
      <c r="C21" s="53">
        <f>VLOOKUP(D12,'Base de dados'!$B$1:$J$104,MATCH(' OVOS'!$C$7,'Base de dados'!$B$1:$J$1,0),0)</f>
        <v>0</v>
      </c>
      <c r="D21" s="47"/>
      <c r="E21" s="47"/>
      <c r="F21" s="47"/>
      <c r="G21" s="47"/>
      <c r="H21" s="86" t="s">
        <v>26</v>
      </c>
      <c r="I21" s="86" t="str">
        <f>IF(VLOOKUP('Gráficos Semanais'!$H21,AVES!$G$1:$DF$311,(MATCH('Gráficos Semanais'!$D$12,AVES!$H$1:$DF$1,0))+1,0)="","",VLOOKUP('Gráficos Semanais'!$H21,AVES!$G$1:$DF$311,(MATCH('Gráficos Semanais'!$D$12,AVES!$H$1:$DF$1,0))+1,0))</f>
        <v/>
      </c>
      <c r="J21" s="84"/>
      <c r="K21" s="84" t="s">
        <v>549</v>
      </c>
      <c r="L21" s="84" t="e">
        <f>IF(VLOOKUP('Gráficos Semanais'!$K21,' OVOS'!$G$1:$DF$311,(MATCH('Gráficos Semanais'!$D$12,' OVOS'!$H$1:$DF$1,0))+1,0)="","",VLOOKUP('Gráficos Semanais'!$K21,' OVOS'!$G$1:$DF$311,(MATCH('Gráficos Semanais'!$D$12,' OVOS'!$H$1:$DF$1,0))+1,0))</f>
        <v>#N/A</v>
      </c>
      <c r="M21" s="84" t="e" cm="1">
        <f t="array" ref="M21">_xlfn.IFS(L21="","",L21&lt;='Base de dados'!$K$2,'Base de dados'!$K$1,L21&lt;='Base de dados'!$L$3,'Base de dados'!$L$1,L21&lt;='Base de dados'!$M$3,'Base de dados'!$M$1,L21&gt;='Base de dados'!$N$2,'Base de dados'!$N$1)</f>
        <v>#N/A</v>
      </c>
      <c r="N21" s="84"/>
      <c r="O21" s="84"/>
      <c r="P21" s="87"/>
      <c r="Q21" s="87"/>
      <c r="R21" s="87"/>
      <c r="S21" s="87"/>
      <c r="T21" s="90">
        <f t="shared" si="4"/>
        <v>9.9999999999999992E-2</v>
      </c>
      <c r="U21" s="92" t="e">
        <f t="shared" si="3"/>
        <v>#VALUE!</v>
      </c>
      <c r="V21" s="87"/>
      <c r="W21" s="87"/>
      <c r="X21" s="87"/>
      <c r="Y21" s="87"/>
    </row>
    <row r="22" spans="1:25" s="85" customFormat="1" ht="18.75" x14ac:dyDescent="0.3">
      <c r="A22" s="104"/>
      <c r="B22" s="64" t="s">
        <v>874</v>
      </c>
      <c r="C22" s="65" t="str" cm="1">
        <f t="array" ref="C22">_xlfn.IFS(C20="","",C20&lt;='Base de dados'!$K$2,'Base de dados'!$K$1,C20&lt;='Base de dados'!$L$3,'Base de dados'!$L$1,C20&lt;='Base de dados'!$M$3,'Base de dados'!$M$1,C20&gt;='Base de dados'!$N$2,'Base de dados'!$N$1)</f>
        <v/>
      </c>
      <c r="D22" s="47"/>
      <c r="E22" s="47"/>
      <c r="F22" s="61"/>
      <c r="G22" s="47"/>
      <c r="H22" s="86" t="s">
        <v>27</v>
      </c>
      <c r="I22" s="86" t="str">
        <f>IF(VLOOKUP('Gráficos Semanais'!$H22,AVES!$G$1:$DF$311,(MATCH('Gráficos Semanais'!$D$12,AVES!$H$1:$DF$1,0))+1,0)="","",VLOOKUP('Gráficos Semanais'!$H22,AVES!$G$1:$DF$311,(MATCH('Gráficos Semanais'!$D$12,AVES!$H$1:$DF$1,0))+1,0))</f>
        <v/>
      </c>
      <c r="J22" s="95"/>
      <c r="K22" s="84" t="s">
        <v>550</v>
      </c>
      <c r="L22" s="84" t="e">
        <f>IF(VLOOKUP('Gráficos Semanais'!$K22,' OVOS'!$G$1:$DF$311,(MATCH('Gráficos Semanais'!$D$12,' OVOS'!$H$1:$DF$1,0))+1,0)="","",VLOOKUP('Gráficos Semanais'!$K22,' OVOS'!$G$1:$DF$311,(MATCH('Gráficos Semanais'!$D$12,' OVOS'!$H$1:$DF$1,0))+1,0))</f>
        <v>#N/A</v>
      </c>
      <c r="M22" s="84" t="e" cm="1">
        <f t="array" ref="M22">_xlfn.IFS(L22="","",L22&lt;='Base de dados'!$K$2,'Base de dados'!$K$1,L22&lt;='Base de dados'!$L$3,'Base de dados'!$L$1,L22&lt;='Base de dados'!$M$3,'Base de dados'!$M$1,L22&gt;='Base de dados'!$N$2,'Base de dados'!$N$1)</f>
        <v>#N/A</v>
      </c>
      <c r="N22" s="84"/>
      <c r="O22" s="95"/>
      <c r="Q22" s="86"/>
    </row>
    <row r="23" spans="1:25" s="85" customFormat="1" x14ac:dyDescent="0.25">
      <c r="A23" s="47"/>
      <c r="B23" s="47"/>
      <c r="C23" s="63" t="str">
        <f>IFERROR(IF((C20-C21)/C21=0,"=",(C20-C21)/C21),"")</f>
        <v/>
      </c>
      <c r="D23" s="61"/>
      <c r="E23" s="47"/>
      <c r="F23" s="47"/>
      <c r="G23" s="47"/>
      <c r="H23" s="86" t="s">
        <v>28</v>
      </c>
      <c r="I23" s="86" t="str">
        <f>IF(VLOOKUP('Gráficos Semanais'!$H23,AVES!$G$1:$DF$311,(MATCH('Gráficos Semanais'!$D$12,AVES!$H$1:$DF$1,0))+1,0)="","",VLOOKUP('Gráficos Semanais'!$H23,AVES!$G$1:$DF$311,(MATCH('Gráficos Semanais'!$D$12,AVES!$H$1:$DF$1,0))+1,0))</f>
        <v/>
      </c>
      <c r="J23" s="95"/>
      <c r="K23" s="84" t="s">
        <v>551</v>
      </c>
      <c r="L23" s="84" t="e">
        <f>IF(VLOOKUP('Gráficos Semanais'!$K23,' OVOS'!$G$1:$DF$311,(MATCH('Gráficos Semanais'!$D$12,' OVOS'!$H$1:$DF$1,0))+1,0)="","",VLOOKUP('Gráficos Semanais'!$K23,' OVOS'!$G$1:$DF$311,(MATCH('Gráficos Semanais'!$D$12,' OVOS'!$H$1:$DF$1,0))+1,0))</f>
        <v>#N/A</v>
      </c>
      <c r="M23" s="84" t="e" cm="1">
        <f t="array" ref="M23">_xlfn.IFS(L23="","",L23&lt;='Base de dados'!$K$2,'Base de dados'!$K$1,L23&lt;='Base de dados'!$L$3,'Base de dados'!$L$1,L23&lt;='Base de dados'!$M$3,'Base de dados'!$M$1,L23&gt;='Base de dados'!$N$2,'Base de dados'!$N$1)</f>
        <v>#N/A</v>
      </c>
      <c r="N23" s="84"/>
      <c r="O23" s="95"/>
      <c r="Q23" s="86"/>
    </row>
    <row r="24" spans="1:25" s="85" customFormat="1" x14ac:dyDescent="0.25">
      <c r="A24" s="47"/>
      <c r="B24" s="47"/>
      <c r="C24" s="47"/>
      <c r="D24" s="47"/>
      <c r="E24" s="47"/>
      <c r="F24" s="47"/>
      <c r="G24" s="47"/>
      <c r="H24" s="86" t="s">
        <v>29</v>
      </c>
      <c r="I24" s="86" t="str">
        <f>IF(VLOOKUP('Gráficos Semanais'!$H24,AVES!$G$1:$DF$311,(MATCH('Gráficos Semanais'!$D$12,AVES!$H$1:$DF$1,0))+1,0)="","",VLOOKUP('Gráficos Semanais'!$H24,AVES!$G$1:$DF$311,(MATCH('Gráficos Semanais'!$D$12,AVES!$H$1:$DF$1,0))+1,0))</f>
        <v/>
      </c>
      <c r="J24" s="95"/>
      <c r="K24" s="84" t="s">
        <v>552</v>
      </c>
      <c r="L24" s="84" t="e">
        <f>IF(VLOOKUP('Gráficos Semanais'!$K24,' OVOS'!$G$1:$DF$311,(MATCH('Gráficos Semanais'!$D$12,' OVOS'!$H$1:$DF$1,0))+1,0)="","",VLOOKUP('Gráficos Semanais'!$K24,' OVOS'!$G$1:$DF$311,(MATCH('Gráficos Semanais'!$D$12,' OVOS'!$H$1:$DF$1,0))+1,0))</f>
        <v>#N/A</v>
      </c>
      <c r="M24" s="84" t="e" cm="1">
        <f t="array" ref="M24">_xlfn.IFS(L24="","",L24&lt;='Base de dados'!$K$2,'Base de dados'!$K$1,L24&lt;='Base de dados'!$L$3,'Base de dados'!$L$1,L24&lt;='Base de dados'!$M$3,'Base de dados'!$M$1,L24&gt;='Base de dados'!$N$2,'Base de dados'!$N$1)</f>
        <v>#N/A</v>
      </c>
      <c r="N24" s="84"/>
      <c r="O24" s="95"/>
      <c r="Q24" s="86"/>
    </row>
    <row r="25" spans="1:25" s="85" customFormat="1" x14ac:dyDescent="0.25">
      <c r="A25" s="47"/>
      <c r="B25" s="47"/>
      <c r="C25" s="47"/>
      <c r="D25" s="47"/>
      <c r="E25" s="47"/>
      <c r="F25" s="47"/>
      <c r="G25" s="47"/>
      <c r="H25" s="86" t="s">
        <v>30</v>
      </c>
      <c r="I25" s="86" t="str">
        <f>IF(VLOOKUP('Gráficos Semanais'!$H25,AVES!$G$1:$DF$311,(MATCH('Gráficos Semanais'!$D$12,AVES!$H$1:$DF$1,0))+1,0)="","",VLOOKUP('Gráficos Semanais'!$H25,AVES!$G$1:$DF$311,(MATCH('Gráficos Semanais'!$D$12,AVES!$H$1:$DF$1,0))+1,0))</f>
        <v/>
      </c>
      <c r="J25" s="95"/>
      <c r="K25" s="84" t="s">
        <v>553</v>
      </c>
      <c r="L25" s="84" t="e">
        <f>IF(VLOOKUP('Gráficos Semanais'!$K25,' OVOS'!$G$1:$DF$311,(MATCH('Gráficos Semanais'!$D$12,' OVOS'!$H$1:$DF$1,0))+1,0)="","",VLOOKUP('Gráficos Semanais'!$K25,' OVOS'!$G$1:$DF$311,(MATCH('Gráficos Semanais'!$D$12,' OVOS'!$H$1:$DF$1,0))+1,0))</f>
        <v>#N/A</v>
      </c>
      <c r="M25" s="84" t="e" cm="1">
        <f t="array" ref="M25">_xlfn.IFS(L25="","",L25&lt;='Base de dados'!$K$2,'Base de dados'!$K$1,L25&lt;='Base de dados'!$L$3,'Base de dados'!$L$1,L25&lt;='Base de dados'!$M$3,'Base de dados'!$M$1,L25&gt;='Base de dados'!$N$2,'Base de dados'!$N$1)</f>
        <v>#N/A</v>
      </c>
      <c r="N25" s="84"/>
      <c r="O25" s="95"/>
      <c r="Q25" s="86"/>
    </row>
    <row r="26" spans="1:25" s="85" customFormat="1" x14ac:dyDescent="0.25">
      <c r="A26" s="47"/>
      <c r="B26" s="47"/>
      <c r="C26" s="47"/>
      <c r="D26" s="47"/>
      <c r="E26" s="47"/>
      <c r="F26" s="47"/>
      <c r="G26" s="47"/>
      <c r="H26" s="86" t="s">
        <v>31</v>
      </c>
      <c r="I26" s="86" t="str">
        <f>IF(VLOOKUP('Gráficos Semanais'!$H26,AVES!$G$1:$DF$311,(MATCH('Gráficos Semanais'!$D$12,AVES!$H$1:$DF$1,0))+1,0)="","",VLOOKUP('Gráficos Semanais'!$H26,AVES!$G$1:$DF$311,(MATCH('Gráficos Semanais'!$D$12,AVES!$H$1:$DF$1,0))+1,0))</f>
        <v/>
      </c>
      <c r="J26" s="95"/>
      <c r="K26" s="84" t="s">
        <v>554</v>
      </c>
      <c r="L26" s="84" t="e">
        <f>IF(VLOOKUP('Gráficos Semanais'!$K26,' OVOS'!$G$1:$DF$311,(MATCH('Gráficos Semanais'!$D$12,' OVOS'!$H$1:$DF$1,0))+1,0)="","",VLOOKUP('Gráficos Semanais'!$K26,' OVOS'!$G$1:$DF$311,(MATCH('Gráficos Semanais'!$D$12,' OVOS'!$H$1:$DF$1,0))+1,0))</f>
        <v>#N/A</v>
      </c>
      <c r="M26" s="84" t="e" cm="1">
        <f t="array" ref="M26">_xlfn.IFS(L26="","",L26&lt;='Base de dados'!$K$2,'Base de dados'!$K$1,L26&lt;='Base de dados'!$L$3,'Base de dados'!$L$1,L26&lt;='Base de dados'!$M$3,'Base de dados'!$M$1,L26&gt;='Base de dados'!$N$2,'Base de dados'!$N$1)</f>
        <v>#N/A</v>
      </c>
      <c r="N26" s="84"/>
      <c r="O26" s="95"/>
      <c r="Q26" s="86"/>
    </row>
    <row r="27" spans="1:25" s="85" customFormat="1" x14ac:dyDescent="0.25">
      <c r="A27" s="47"/>
      <c r="B27" s="47"/>
      <c r="C27" s="47"/>
      <c r="D27" s="47"/>
      <c r="E27" s="47"/>
      <c r="F27" s="60"/>
      <c r="G27" s="59"/>
      <c r="H27" s="86" t="s">
        <v>32</v>
      </c>
      <c r="I27" s="86" t="str">
        <f>IF(VLOOKUP('Gráficos Semanais'!$H27,AVES!$G$1:$DF$311,(MATCH('Gráficos Semanais'!$D$12,AVES!$H$1:$DF$1,0))+1,0)="","",VLOOKUP('Gráficos Semanais'!$H27,AVES!$G$1:$DF$311,(MATCH('Gráficos Semanais'!$D$12,AVES!$H$1:$DF$1,0))+1,0))</f>
        <v/>
      </c>
      <c r="J27" s="95"/>
      <c r="K27" s="84" t="s">
        <v>555</v>
      </c>
      <c r="L27" s="84" t="e">
        <f>IF(VLOOKUP('Gráficos Semanais'!$K27,' OVOS'!$G$1:$DF$311,(MATCH('Gráficos Semanais'!$D$12,' OVOS'!$H$1:$DF$1,0))+1,0)="","",VLOOKUP('Gráficos Semanais'!$K27,' OVOS'!$G$1:$DF$311,(MATCH('Gráficos Semanais'!$D$12,' OVOS'!$H$1:$DF$1,0))+1,0))</f>
        <v>#N/A</v>
      </c>
      <c r="M27" s="84" t="e" cm="1">
        <f t="array" ref="M27">_xlfn.IFS(L27="","",L27&lt;='Base de dados'!$K$2,'Base de dados'!$K$1,L27&lt;='Base de dados'!$L$3,'Base de dados'!$L$1,L27&lt;='Base de dados'!$M$3,'Base de dados'!$M$1,L27&gt;='Base de dados'!$N$2,'Base de dados'!$N$1)</f>
        <v>#N/A</v>
      </c>
      <c r="N27" s="84"/>
      <c r="O27" s="95"/>
      <c r="Q27" s="86"/>
    </row>
    <row r="28" spans="1:25" s="85" customFormat="1" ht="13.5" customHeight="1" x14ac:dyDescent="0.25">
      <c r="A28" s="47"/>
      <c r="B28" s="47"/>
      <c r="C28" s="47"/>
      <c r="D28" s="47"/>
      <c r="E28" s="47"/>
      <c r="F28" s="47"/>
      <c r="G28" s="47"/>
      <c r="H28" s="86" t="s">
        <v>33</v>
      </c>
      <c r="I28" s="86" t="str">
        <f>IF(VLOOKUP('Gráficos Semanais'!$H28,AVES!$G$1:$DF$311,(MATCH('Gráficos Semanais'!$D$12,AVES!$H$1:$DF$1,0))+1,0)="","",VLOOKUP('Gráficos Semanais'!$H28,AVES!$G$1:$DF$311,(MATCH('Gráficos Semanais'!$D$12,AVES!$H$1:$DF$1,0))+1,0))</f>
        <v/>
      </c>
      <c r="J28" s="95"/>
      <c r="K28" s="84" t="s">
        <v>556</v>
      </c>
      <c r="L28" s="84" t="e">
        <f>IF(VLOOKUP('Gráficos Semanais'!$K28,' OVOS'!$G$1:$DF$311,(MATCH('Gráficos Semanais'!$D$12,' OVOS'!$H$1:$DF$1,0))+1,0)="","",VLOOKUP('Gráficos Semanais'!$K28,' OVOS'!$G$1:$DF$311,(MATCH('Gráficos Semanais'!$D$12,' OVOS'!$H$1:$DF$1,0))+1,0))</f>
        <v>#N/A</v>
      </c>
      <c r="M28" s="84" t="e" cm="1">
        <f t="array" ref="M28">_xlfn.IFS(L28="","",L28&lt;='Base de dados'!$K$2,'Base de dados'!$K$1,L28&lt;='Base de dados'!$L$3,'Base de dados'!$L$1,L28&lt;='Base de dados'!$M$3,'Base de dados'!$M$1,L28&gt;='Base de dados'!$N$2,'Base de dados'!$N$1)</f>
        <v>#N/A</v>
      </c>
      <c r="N28" s="84"/>
      <c r="O28" s="95"/>
      <c r="Q28" s="86"/>
    </row>
    <row r="29" spans="1:25" s="85" customFormat="1" x14ac:dyDescent="0.25">
      <c r="A29" s="47"/>
      <c r="B29" s="47"/>
      <c r="C29" s="47"/>
      <c r="D29" s="47"/>
      <c r="E29" s="47"/>
      <c r="F29" s="47"/>
      <c r="G29" s="47"/>
      <c r="H29" s="86" t="s">
        <v>34</v>
      </c>
      <c r="I29" s="86" t="str">
        <f>IF(VLOOKUP('Gráficos Semanais'!$H29,AVES!$G$1:$DF$311,(MATCH('Gráficos Semanais'!$D$12,AVES!$H$1:$DF$1,0))+1,0)="","",VLOOKUP('Gráficos Semanais'!$H29,AVES!$G$1:$DF$311,(MATCH('Gráficos Semanais'!$D$12,AVES!$H$1:$DF$1,0))+1,0))</f>
        <v/>
      </c>
      <c r="J29" s="95"/>
      <c r="K29" s="84" t="s">
        <v>557</v>
      </c>
      <c r="L29" s="84" t="e">
        <f>IF(VLOOKUP('Gráficos Semanais'!$K29,' OVOS'!$G$1:$DF$311,(MATCH('Gráficos Semanais'!$D$12,' OVOS'!$H$1:$DF$1,0))+1,0)="","",VLOOKUP('Gráficos Semanais'!$K29,' OVOS'!$G$1:$DF$311,(MATCH('Gráficos Semanais'!$D$12,' OVOS'!$H$1:$DF$1,0))+1,0))</f>
        <v>#N/A</v>
      </c>
      <c r="M29" s="84" t="e" cm="1">
        <f t="array" ref="M29">_xlfn.IFS(L29="","",L29&lt;='Base de dados'!$K$2,'Base de dados'!$K$1,L29&lt;='Base de dados'!$L$3,'Base de dados'!$L$1,L29&lt;='Base de dados'!$M$3,'Base de dados'!$M$1,L29&gt;='Base de dados'!$N$2,'Base de dados'!$N$1)</f>
        <v>#N/A</v>
      </c>
      <c r="N29" s="84"/>
      <c r="O29" s="95"/>
      <c r="Q29" s="86"/>
    </row>
    <row r="30" spans="1:25" s="85" customFormat="1" x14ac:dyDescent="0.25">
      <c r="A30" s="47"/>
      <c r="B30" s="47"/>
      <c r="C30" s="47"/>
      <c r="D30" s="47"/>
      <c r="E30" s="47"/>
      <c r="F30" s="47"/>
      <c r="G30" s="47"/>
      <c r="H30" s="86" t="s">
        <v>35</v>
      </c>
      <c r="I30" s="86" t="str">
        <f>IF(VLOOKUP('Gráficos Semanais'!$H30,AVES!$G$1:$DF$311,(MATCH('Gráficos Semanais'!$D$12,AVES!$H$1:$DF$1,0))+1,0)="","",VLOOKUP('Gráficos Semanais'!$H30,AVES!$G$1:$DF$311,(MATCH('Gráficos Semanais'!$D$12,AVES!$H$1:$DF$1,0))+1,0))</f>
        <v/>
      </c>
      <c r="J30" s="95"/>
      <c r="K30" s="84" t="s">
        <v>558</v>
      </c>
      <c r="L30" s="84" t="e">
        <f>IF(VLOOKUP('Gráficos Semanais'!$K30,' OVOS'!$G$1:$DF$311,(MATCH('Gráficos Semanais'!$D$12,' OVOS'!$H$1:$DF$1,0))+1,0)="","",VLOOKUP('Gráficos Semanais'!$K30,' OVOS'!$G$1:$DF$311,(MATCH('Gráficos Semanais'!$D$12,' OVOS'!$H$1:$DF$1,0))+1,0))</f>
        <v>#N/A</v>
      </c>
      <c r="M30" s="84" t="e" cm="1">
        <f t="array" ref="M30">_xlfn.IFS(L30="","",L30&lt;='Base de dados'!$K$2,'Base de dados'!$K$1,L30&lt;='Base de dados'!$L$3,'Base de dados'!$L$1,L30&lt;='Base de dados'!$M$3,'Base de dados'!$M$1,L30&gt;='Base de dados'!$N$2,'Base de dados'!$N$1)</f>
        <v>#N/A</v>
      </c>
      <c r="N30" s="84"/>
      <c r="O30" s="95"/>
      <c r="Q30" s="86"/>
    </row>
    <row r="31" spans="1:25" s="85" customFormat="1" x14ac:dyDescent="0.25">
      <c r="A31" s="47"/>
      <c r="B31" s="47"/>
      <c r="C31" s="47"/>
      <c r="D31" s="47"/>
      <c r="E31" s="47"/>
      <c r="F31" s="47"/>
      <c r="G31" s="47"/>
      <c r="H31" s="86" t="s">
        <v>36</v>
      </c>
      <c r="I31" s="86" t="str">
        <f>IF(VLOOKUP('Gráficos Semanais'!$H31,AVES!$G$1:$DF$311,(MATCH('Gráficos Semanais'!$D$12,AVES!$H$1:$DF$1,0))+1,0)="","",VLOOKUP('Gráficos Semanais'!$H31,AVES!$G$1:$DF$311,(MATCH('Gráficos Semanais'!$D$12,AVES!$H$1:$DF$1,0))+1,0))</f>
        <v/>
      </c>
      <c r="J31" s="95"/>
      <c r="K31" s="84" t="s">
        <v>559</v>
      </c>
      <c r="L31" s="84" t="e">
        <f>IF(VLOOKUP('Gráficos Semanais'!$K31,' OVOS'!$G$1:$DF$311,(MATCH('Gráficos Semanais'!$D$12,' OVOS'!$H$1:$DF$1,0))+1,0)="","",VLOOKUP('Gráficos Semanais'!$K31,' OVOS'!$G$1:$DF$311,(MATCH('Gráficos Semanais'!$D$12,' OVOS'!$H$1:$DF$1,0))+1,0))</f>
        <v>#N/A</v>
      </c>
      <c r="M31" s="84" t="e" cm="1">
        <f t="array" ref="M31">_xlfn.IFS(L31="","",L31&lt;='Base de dados'!$K$2,'Base de dados'!$K$1,L31&lt;='Base de dados'!$L$3,'Base de dados'!$L$1,L31&lt;='Base de dados'!$M$3,'Base de dados'!$M$1,L31&gt;='Base de dados'!$N$2,'Base de dados'!$N$1)</f>
        <v>#N/A</v>
      </c>
      <c r="N31" s="84"/>
      <c r="O31" s="95"/>
      <c r="Q31" s="86"/>
    </row>
    <row r="32" spans="1:25" s="85" customFormat="1" x14ac:dyDescent="0.25">
      <c r="A32" s="47"/>
      <c r="B32" s="47"/>
      <c r="C32" s="47"/>
      <c r="D32" s="47"/>
      <c r="E32" s="47"/>
      <c r="F32" s="47"/>
      <c r="G32" s="47"/>
      <c r="H32" s="86" t="s">
        <v>37</v>
      </c>
      <c r="I32" s="86" t="str">
        <f>IF(VLOOKUP('Gráficos Semanais'!$H32,AVES!$G$1:$DF$311,(MATCH('Gráficos Semanais'!$D$12,AVES!$H$1:$DF$1,0))+1,0)="","",VLOOKUP('Gráficos Semanais'!$H32,AVES!$G$1:$DF$311,(MATCH('Gráficos Semanais'!$D$12,AVES!$H$1:$DF$1,0))+1,0))</f>
        <v/>
      </c>
      <c r="J32" s="95"/>
      <c r="K32" s="84" t="s">
        <v>560</v>
      </c>
      <c r="L32" s="84" t="e">
        <f>IF(VLOOKUP('Gráficos Semanais'!$K32,' OVOS'!$G$1:$DF$311,(MATCH('Gráficos Semanais'!$D$12,' OVOS'!$H$1:$DF$1,0))+1,0)="","",VLOOKUP('Gráficos Semanais'!$K32,' OVOS'!$G$1:$DF$311,(MATCH('Gráficos Semanais'!$D$12,' OVOS'!$H$1:$DF$1,0))+1,0))</f>
        <v>#N/A</v>
      </c>
      <c r="M32" s="84" t="e" cm="1">
        <f t="array" ref="M32">_xlfn.IFS(L32="","",L32&lt;='Base de dados'!$K$2,'Base de dados'!$K$1,L32&lt;='Base de dados'!$L$3,'Base de dados'!$L$1,L32&lt;='Base de dados'!$M$3,'Base de dados'!$M$1,L32&gt;='Base de dados'!$N$2,'Base de dados'!$N$1)</f>
        <v>#N/A</v>
      </c>
      <c r="N32" s="84"/>
      <c r="O32" s="95"/>
    </row>
    <row r="33" spans="1:15" s="85" customFormat="1" x14ac:dyDescent="0.25">
      <c r="A33" s="47"/>
      <c r="B33" s="47"/>
      <c r="C33" s="47"/>
      <c r="D33" s="47"/>
      <c r="E33" s="47"/>
      <c r="F33" s="47"/>
      <c r="G33" s="47"/>
      <c r="H33" s="86" t="s">
        <v>38</v>
      </c>
      <c r="I33" s="86" t="str">
        <f>IF(VLOOKUP('Gráficos Semanais'!$H33,AVES!$G$1:$DF$311,(MATCH('Gráficos Semanais'!$D$12,AVES!$H$1:$DF$1,0))+1,0)="","",VLOOKUP('Gráficos Semanais'!$H33,AVES!$G$1:$DF$311,(MATCH('Gráficos Semanais'!$D$12,AVES!$H$1:$DF$1,0))+1,0))</f>
        <v/>
      </c>
      <c r="J33" s="84"/>
      <c r="K33" s="84" t="s">
        <v>561</v>
      </c>
      <c r="L33" s="84" t="e">
        <f>IF(VLOOKUP('Gráficos Semanais'!$K33,' OVOS'!$G$1:$DF$311,(MATCH('Gráficos Semanais'!$D$12,' OVOS'!$H$1:$DF$1,0))+1,0)="","",VLOOKUP('Gráficos Semanais'!$K33,' OVOS'!$G$1:$DF$311,(MATCH('Gráficos Semanais'!$D$12,' OVOS'!$H$1:$DF$1,0))+1,0))</f>
        <v>#N/A</v>
      </c>
      <c r="M33" s="84" t="e" cm="1">
        <f t="array" ref="M33">_xlfn.IFS(L33="","",L33&lt;='Base de dados'!$K$2,'Base de dados'!$K$1,L33&lt;='Base de dados'!$L$3,'Base de dados'!$L$1,L33&lt;='Base de dados'!$M$3,'Base de dados'!$M$1,L33&gt;='Base de dados'!$N$2,'Base de dados'!$N$1)</f>
        <v>#N/A</v>
      </c>
      <c r="N33" s="84"/>
      <c r="O33" s="84"/>
    </row>
    <row r="34" spans="1:15" s="85" customFormat="1" x14ac:dyDescent="0.25">
      <c r="A34" s="47"/>
      <c r="B34" s="47"/>
      <c r="C34" s="47"/>
      <c r="D34" s="47"/>
      <c r="E34" s="47"/>
      <c r="F34" s="47"/>
      <c r="G34" s="47"/>
      <c r="H34" s="86" t="s">
        <v>39</v>
      </c>
      <c r="I34" s="86" t="str">
        <f>IF(VLOOKUP('Gráficos Semanais'!$H34,AVES!$G$1:$DF$311,(MATCH('Gráficos Semanais'!$D$12,AVES!$H$1:$DF$1,0))+1,0)="","",VLOOKUP('Gráficos Semanais'!$H34,AVES!$G$1:$DF$311,(MATCH('Gráficos Semanais'!$D$12,AVES!$H$1:$DF$1,0))+1,0))</f>
        <v/>
      </c>
      <c r="J34" s="84"/>
      <c r="K34" s="84" t="s">
        <v>562</v>
      </c>
      <c r="L34" s="84" t="e">
        <f>IF(VLOOKUP('Gráficos Semanais'!$K34,' OVOS'!$G$1:$DF$311,(MATCH('Gráficos Semanais'!$D$12,' OVOS'!$H$1:$DF$1,0))+1,0)="","",VLOOKUP('Gráficos Semanais'!$K34,' OVOS'!$G$1:$DF$311,(MATCH('Gráficos Semanais'!$D$12,' OVOS'!$H$1:$DF$1,0))+1,0))</f>
        <v>#N/A</v>
      </c>
      <c r="M34" s="84" t="e" cm="1">
        <f t="array" ref="M34">_xlfn.IFS(L34="","",L34&lt;='Base de dados'!$K$2,'Base de dados'!$K$1,L34&lt;='Base de dados'!$L$3,'Base de dados'!$L$1,L34&lt;='Base de dados'!$M$3,'Base de dados'!$M$1,L34&gt;='Base de dados'!$N$2,'Base de dados'!$N$1)</f>
        <v>#N/A</v>
      </c>
      <c r="N34" s="84"/>
      <c r="O34" s="84"/>
    </row>
    <row r="35" spans="1:15" s="85" customFormat="1" x14ac:dyDescent="0.25">
      <c r="A35" s="47"/>
      <c r="B35" s="47"/>
      <c r="C35" s="47"/>
      <c r="D35" s="47"/>
      <c r="E35" s="47"/>
      <c r="F35" s="47"/>
      <c r="G35" s="47"/>
      <c r="H35" s="86" t="s">
        <v>40</v>
      </c>
      <c r="I35" s="86" t="str">
        <f>IF(VLOOKUP('Gráficos Semanais'!$H35,AVES!$G$1:$DF$311,(MATCH('Gráficos Semanais'!$D$12,AVES!$H$1:$DF$1,0))+1,0)="","",VLOOKUP('Gráficos Semanais'!$H35,AVES!$G$1:$DF$311,(MATCH('Gráficos Semanais'!$D$12,AVES!$H$1:$DF$1,0))+1,0))</f>
        <v/>
      </c>
      <c r="J35" s="84"/>
      <c r="K35" s="84" t="s">
        <v>563</v>
      </c>
      <c r="L35" s="84" t="e">
        <f>IF(VLOOKUP('Gráficos Semanais'!$K35,' OVOS'!$G$1:$DF$311,(MATCH('Gráficos Semanais'!$D$12,' OVOS'!$H$1:$DF$1,0))+1,0)="","",VLOOKUP('Gráficos Semanais'!$K35,' OVOS'!$G$1:$DF$311,(MATCH('Gráficos Semanais'!$D$12,' OVOS'!$H$1:$DF$1,0))+1,0))</f>
        <v>#N/A</v>
      </c>
      <c r="M35" s="84" t="e" cm="1">
        <f t="array" ref="M35">_xlfn.IFS(L35="","",L35&lt;='Base de dados'!$K$2,'Base de dados'!$K$1,L35&lt;='Base de dados'!$L$3,'Base de dados'!$L$1,L35&lt;='Base de dados'!$M$3,'Base de dados'!$M$1,L35&gt;='Base de dados'!$N$2,'Base de dados'!$N$1)</f>
        <v>#N/A</v>
      </c>
      <c r="N35" s="84"/>
      <c r="O35" s="84"/>
    </row>
    <row r="36" spans="1:15" s="85" customFormat="1" x14ac:dyDescent="0.25">
      <c r="A36" s="47"/>
      <c r="B36" s="47"/>
      <c r="C36" s="47"/>
      <c r="D36" s="47"/>
      <c r="E36" s="47"/>
      <c r="F36" s="47"/>
      <c r="G36" s="47"/>
      <c r="H36" s="86" t="s">
        <v>41</v>
      </c>
      <c r="I36" s="86" t="str">
        <f>IF(VLOOKUP('Gráficos Semanais'!$H36,AVES!$G$1:$DF$311,(MATCH('Gráficos Semanais'!$D$12,AVES!$H$1:$DF$1,0))+1,0)="","",VLOOKUP('Gráficos Semanais'!$H36,AVES!$G$1:$DF$311,(MATCH('Gráficos Semanais'!$D$12,AVES!$H$1:$DF$1,0))+1,0))</f>
        <v/>
      </c>
      <c r="J36" s="84"/>
      <c r="K36" s="84" t="s">
        <v>564</v>
      </c>
      <c r="L36" s="84" t="e">
        <f>IF(VLOOKUP('Gráficos Semanais'!$K36,' OVOS'!$G$1:$DF$311,(MATCH('Gráficos Semanais'!$D$12,' OVOS'!$H$1:$DF$1,0))+1,0)="","",VLOOKUP('Gráficos Semanais'!$K36,' OVOS'!$G$1:$DF$311,(MATCH('Gráficos Semanais'!$D$12,' OVOS'!$H$1:$DF$1,0))+1,0))</f>
        <v>#N/A</v>
      </c>
      <c r="M36" s="84" t="e" cm="1">
        <f t="array" ref="M36">_xlfn.IFS(L36="","",L36&lt;='Base de dados'!$K$2,'Base de dados'!$K$1,L36&lt;='Base de dados'!$L$3,'Base de dados'!$L$1,L36&lt;='Base de dados'!$M$3,'Base de dados'!$M$1,L36&gt;='Base de dados'!$N$2,'Base de dados'!$N$1)</f>
        <v>#N/A</v>
      </c>
      <c r="N36" s="84"/>
      <c r="O36" s="84"/>
    </row>
    <row r="37" spans="1:15" s="85" customFormat="1" x14ac:dyDescent="0.25">
      <c r="A37" s="47"/>
      <c r="B37" s="47"/>
      <c r="C37" s="47"/>
      <c r="D37" s="47"/>
      <c r="E37" s="47"/>
      <c r="F37" s="47"/>
      <c r="G37" s="47"/>
      <c r="H37" s="86" t="s">
        <v>42</v>
      </c>
      <c r="I37" s="86" t="str">
        <f>IF(VLOOKUP('Gráficos Semanais'!$H37,AVES!$G$1:$DF$311,(MATCH('Gráficos Semanais'!$D$12,AVES!$H$1:$DF$1,0))+1,0)="","",VLOOKUP('Gráficos Semanais'!$H37,AVES!$G$1:$DF$311,(MATCH('Gráficos Semanais'!$D$12,AVES!$H$1:$DF$1,0))+1,0))</f>
        <v/>
      </c>
      <c r="J37" s="84"/>
      <c r="K37" s="84" t="s">
        <v>565</v>
      </c>
      <c r="L37" s="84" t="e">
        <f>IF(VLOOKUP('Gráficos Semanais'!$K37,' OVOS'!$G$1:$DF$311,(MATCH('Gráficos Semanais'!$D$12,' OVOS'!$H$1:$DF$1,0))+1,0)="","",VLOOKUP('Gráficos Semanais'!$K37,' OVOS'!$G$1:$DF$311,(MATCH('Gráficos Semanais'!$D$12,' OVOS'!$H$1:$DF$1,0))+1,0))</f>
        <v>#N/A</v>
      </c>
      <c r="M37" s="84" t="e" cm="1">
        <f t="array" ref="M37">_xlfn.IFS(L37="","",L37&lt;='Base de dados'!$K$2,'Base de dados'!$K$1,L37&lt;='Base de dados'!$L$3,'Base de dados'!$L$1,L37&lt;='Base de dados'!$M$3,'Base de dados'!$M$1,L37&gt;='Base de dados'!$N$2,'Base de dados'!$N$1)</f>
        <v>#N/A</v>
      </c>
      <c r="N37" s="84"/>
      <c r="O37" s="84"/>
    </row>
    <row r="38" spans="1:15" s="85" customFormat="1" x14ac:dyDescent="0.25">
      <c r="A38" s="47"/>
      <c r="B38" s="47"/>
      <c r="C38" s="47"/>
      <c r="D38" s="47"/>
      <c r="E38" s="47"/>
      <c r="F38" s="47"/>
      <c r="G38" s="47"/>
      <c r="H38" s="86" t="s">
        <v>43</v>
      </c>
      <c r="I38" s="86" t="str">
        <f>IF(VLOOKUP('Gráficos Semanais'!$H38,AVES!$G$1:$DF$311,(MATCH('Gráficos Semanais'!$D$12,AVES!$H$1:$DF$1,0))+1,0)="","",VLOOKUP('Gráficos Semanais'!$H38,AVES!$G$1:$DF$311,(MATCH('Gráficos Semanais'!$D$12,AVES!$H$1:$DF$1,0))+1,0))</f>
        <v/>
      </c>
      <c r="J38" s="84"/>
      <c r="K38" s="84" t="s">
        <v>566</v>
      </c>
      <c r="L38" s="84" t="e">
        <f>IF(VLOOKUP('Gráficos Semanais'!$K38,' OVOS'!$G$1:$DF$311,(MATCH('Gráficos Semanais'!$D$12,' OVOS'!$H$1:$DF$1,0))+1,0)="","",VLOOKUP('Gráficos Semanais'!$K38,' OVOS'!$G$1:$DF$311,(MATCH('Gráficos Semanais'!$D$12,' OVOS'!$H$1:$DF$1,0))+1,0))</f>
        <v>#N/A</v>
      </c>
      <c r="M38" s="84" t="e" cm="1">
        <f t="array" ref="M38">_xlfn.IFS(L38="","",L38&lt;='Base de dados'!$K$2,'Base de dados'!$K$1,L38&lt;='Base de dados'!$L$3,'Base de dados'!$L$1,L38&lt;='Base de dados'!$M$3,'Base de dados'!$M$1,L38&gt;='Base de dados'!$N$2,'Base de dados'!$N$1)</f>
        <v>#N/A</v>
      </c>
      <c r="N38" s="84"/>
      <c r="O38" s="84"/>
    </row>
    <row r="39" spans="1:15" s="85" customFormat="1" x14ac:dyDescent="0.25">
      <c r="A39" s="47"/>
      <c r="B39" s="47"/>
      <c r="C39" s="47"/>
      <c r="D39" s="47"/>
      <c r="E39" s="47"/>
      <c r="F39" s="47"/>
      <c r="G39" s="47"/>
      <c r="H39" s="86" t="s">
        <v>44</v>
      </c>
      <c r="I39" s="86" t="str">
        <f>IF(VLOOKUP('Gráficos Semanais'!$H39,AVES!$G$1:$DF$311,(MATCH('Gráficos Semanais'!$D$12,AVES!$H$1:$DF$1,0))+1,0)="","",VLOOKUP('Gráficos Semanais'!$H39,AVES!$G$1:$DF$311,(MATCH('Gráficos Semanais'!$D$12,AVES!$H$1:$DF$1,0))+1,0))</f>
        <v/>
      </c>
      <c r="J39" s="84"/>
      <c r="K39" s="84" t="s">
        <v>567</v>
      </c>
      <c r="L39" s="84" t="e">
        <f>IF(VLOOKUP('Gráficos Semanais'!$K39,' OVOS'!$G$1:$DF$311,(MATCH('Gráficos Semanais'!$D$12,' OVOS'!$H$1:$DF$1,0))+1,0)="","",VLOOKUP('Gráficos Semanais'!$K39,' OVOS'!$G$1:$DF$311,(MATCH('Gráficos Semanais'!$D$12,' OVOS'!$H$1:$DF$1,0))+1,0))</f>
        <v>#N/A</v>
      </c>
      <c r="M39" s="84" t="e" cm="1">
        <f t="array" ref="M39">_xlfn.IFS(L39="","",L39&lt;='Base de dados'!$K$2,'Base de dados'!$K$1,L39&lt;='Base de dados'!$L$3,'Base de dados'!$L$1,L39&lt;='Base de dados'!$M$3,'Base de dados'!$M$1,L39&gt;='Base de dados'!$N$2,'Base de dados'!$N$1)</f>
        <v>#N/A</v>
      </c>
      <c r="N39" s="84"/>
      <c r="O39" s="84"/>
    </row>
    <row r="40" spans="1:15" s="85" customFormat="1" x14ac:dyDescent="0.25">
      <c r="A40" s="47"/>
      <c r="B40" s="47"/>
      <c r="C40" s="47"/>
      <c r="D40" s="47"/>
      <c r="E40" s="47"/>
      <c r="F40" s="47"/>
      <c r="G40" s="47"/>
      <c r="H40" s="86" t="s">
        <v>45</v>
      </c>
      <c r="I40" s="86" t="str">
        <f>IF(VLOOKUP('Gráficos Semanais'!$H40,AVES!$G$1:$DF$311,(MATCH('Gráficos Semanais'!$D$12,AVES!$H$1:$DF$1,0))+1,0)="","",VLOOKUP('Gráficos Semanais'!$H40,AVES!$G$1:$DF$311,(MATCH('Gráficos Semanais'!$D$12,AVES!$H$1:$DF$1,0))+1,0))</f>
        <v/>
      </c>
      <c r="J40" s="84"/>
      <c r="K40" s="84" t="s">
        <v>568</v>
      </c>
      <c r="L40" s="84" t="e">
        <f>IF(VLOOKUP('Gráficos Semanais'!$K40,' OVOS'!$G$1:$DF$311,(MATCH('Gráficos Semanais'!$D$12,' OVOS'!$H$1:$DF$1,0))+1,0)="","",VLOOKUP('Gráficos Semanais'!$K40,' OVOS'!$G$1:$DF$311,(MATCH('Gráficos Semanais'!$D$12,' OVOS'!$H$1:$DF$1,0))+1,0))</f>
        <v>#N/A</v>
      </c>
      <c r="M40" s="84" t="e" cm="1">
        <f t="array" ref="M40">_xlfn.IFS(L40="","",L40&lt;='Base de dados'!$K$2,'Base de dados'!$K$1,L40&lt;='Base de dados'!$L$3,'Base de dados'!$L$1,L40&lt;='Base de dados'!$M$3,'Base de dados'!$M$1,L40&gt;='Base de dados'!$N$2,'Base de dados'!$N$1)</f>
        <v>#N/A</v>
      </c>
      <c r="N40" s="84"/>
      <c r="O40" s="84"/>
    </row>
    <row r="41" spans="1:15" s="85" customFormat="1" x14ac:dyDescent="0.25">
      <c r="A41" s="47"/>
      <c r="B41" s="47"/>
      <c r="C41" s="47"/>
      <c r="D41" s="47"/>
      <c r="E41" s="47"/>
      <c r="F41" s="47"/>
      <c r="G41" s="47"/>
      <c r="H41" s="86" t="s">
        <v>46</v>
      </c>
      <c r="I41" s="86" t="str">
        <f>IF(VLOOKUP('Gráficos Semanais'!$H41,AVES!$G$1:$DF$311,(MATCH('Gráficos Semanais'!$D$12,AVES!$H$1:$DF$1,0))+1,0)="","",VLOOKUP('Gráficos Semanais'!$H41,AVES!$G$1:$DF$311,(MATCH('Gráficos Semanais'!$D$12,AVES!$H$1:$DF$1,0))+1,0))</f>
        <v/>
      </c>
      <c r="J41" s="84"/>
      <c r="K41" s="84" t="s">
        <v>569</v>
      </c>
      <c r="L41" s="84" t="e">
        <f>IF(VLOOKUP('Gráficos Semanais'!$K41,' OVOS'!$G$1:$DF$311,(MATCH('Gráficos Semanais'!$D$12,' OVOS'!$H$1:$DF$1,0))+1,0)="","",VLOOKUP('Gráficos Semanais'!$K41,' OVOS'!$G$1:$DF$311,(MATCH('Gráficos Semanais'!$D$12,' OVOS'!$H$1:$DF$1,0))+1,0))</f>
        <v>#N/A</v>
      </c>
      <c r="M41" s="84" t="e" cm="1">
        <f t="array" ref="M41">_xlfn.IFS(L41="","",L41&lt;='Base de dados'!$K$2,'Base de dados'!$K$1,L41&lt;='Base de dados'!$L$3,'Base de dados'!$L$1,L41&lt;='Base de dados'!$M$3,'Base de dados'!$M$1,L41&gt;='Base de dados'!$N$2,'Base de dados'!$N$1)</f>
        <v>#N/A</v>
      </c>
      <c r="N41" s="84"/>
      <c r="O41" s="84"/>
    </row>
    <row r="42" spans="1:15" s="85" customFormat="1" x14ac:dyDescent="0.25">
      <c r="A42" s="47"/>
      <c r="B42" s="47"/>
      <c r="C42" s="47"/>
      <c r="D42" s="47"/>
      <c r="E42" s="47"/>
      <c r="F42" s="47"/>
      <c r="G42" s="47"/>
      <c r="H42" s="86" t="s">
        <v>47</v>
      </c>
      <c r="I42" s="86" t="str">
        <f>IF(VLOOKUP('Gráficos Semanais'!$H42,AVES!$G$1:$DF$311,(MATCH('Gráficos Semanais'!$D$12,AVES!$H$1:$DF$1,0))+1,0)="","",VLOOKUP('Gráficos Semanais'!$H42,AVES!$G$1:$DF$311,(MATCH('Gráficos Semanais'!$D$12,AVES!$H$1:$DF$1,0))+1,0))</f>
        <v/>
      </c>
      <c r="J42" s="84"/>
      <c r="K42" s="84" t="s">
        <v>570</v>
      </c>
      <c r="L42" s="84" t="e">
        <f>IF(VLOOKUP('Gráficos Semanais'!$K42,' OVOS'!$G$1:$DF$311,(MATCH('Gráficos Semanais'!$D$12,' OVOS'!$H$1:$DF$1,0))+1,0)="","",VLOOKUP('Gráficos Semanais'!$K42,' OVOS'!$G$1:$DF$311,(MATCH('Gráficos Semanais'!$D$12,' OVOS'!$H$1:$DF$1,0))+1,0))</f>
        <v>#N/A</v>
      </c>
      <c r="M42" s="84" t="e" cm="1">
        <f t="array" ref="M42">_xlfn.IFS(L42="","",L42&lt;='Base de dados'!$K$2,'Base de dados'!$K$1,L42&lt;='Base de dados'!$L$3,'Base de dados'!$L$1,L42&lt;='Base de dados'!$M$3,'Base de dados'!$M$1,L42&gt;='Base de dados'!$N$2,'Base de dados'!$N$1)</f>
        <v>#N/A</v>
      </c>
      <c r="N42" s="84"/>
      <c r="O42" s="84"/>
    </row>
    <row r="43" spans="1:15" s="85" customFormat="1" x14ac:dyDescent="0.25">
      <c r="A43" s="47"/>
      <c r="B43" s="47"/>
      <c r="C43" s="47"/>
      <c r="D43" s="47"/>
      <c r="E43" s="47"/>
      <c r="F43" s="47"/>
      <c r="G43" s="47"/>
      <c r="H43" s="86" t="s">
        <v>48</v>
      </c>
      <c r="I43" s="86" t="str">
        <f>IF(VLOOKUP('Gráficos Semanais'!$H43,AVES!$G$1:$DF$311,(MATCH('Gráficos Semanais'!$D$12,AVES!$H$1:$DF$1,0))+1,0)="","",VLOOKUP('Gráficos Semanais'!$H43,AVES!$G$1:$DF$311,(MATCH('Gráficos Semanais'!$D$12,AVES!$H$1:$DF$1,0))+1,0))</f>
        <v/>
      </c>
      <c r="J43" s="84"/>
      <c r="K43" s="84" t="s">
        <v>571</v>
      </c>
      <c r="L43" s="84" t="e">
        <f>IF(VLOOKUP('Gráficos Semanais'!$K43,' OVOS'!$G$1:$DF$311,(MATCH('Gráficos Semanais'!$D$12,' OVOS'!$H$1:$DF$1,0))+1,0)="","",VLOOKUP('Gráficos Semanais'!$K43,' OVOS'!$G$1:$DF$311,(MATCH('Gráficos Semanais'!$D$12,' OVOS'!$H$1:$DF$1,0))+1,0))</f>
        <v>#N/A</v>
      </c>
      <c r="M43" s="84" t="e" cm="1">
        <f t="array" ref="M43">_xlfn.IFS(L43="","",L43&lt;='Base de dados'!$K$2,'Base de dados'!$K$1,L43&lt;='Base de dados'!$L$3,'Base de dados'!$L$1,L43&lt;='Base de dados'!$M$3,'Base de dados'!$M$1,L43&gt;='Base de dados'!$N$2,'Base de dados'!$N$1)</f>
        <v>#N/A</v>
      </c>
      <c r="N43" s="84"/>
      <c r="O43" s="84"/>
    </row>
    <row r="44" spans="1:15" s="85" customFormat="1" x14ac:dyDescent="0.25">
      <c r="A44" s="47"/>
      <c r="B44" s="47"/>
      <c r="C44" s="47"/>
      <c r="D44" s="47"/>
      <c r="E44" s="47"/>
      <c r="F44" s="47"/>
      <c r="G44" s="47"/>
      <c r="H44" s="86" t="s">
        <v>49</v>
      </c>
      <c r="I44" s="86" t="str">
        <f>IF(VLOOKUP('Gráficos Semanais'!$H44,AVES!$G$1:$DF$311,(MATCH('Gráficos Semanais'!$D$12,AVES!$H$1:$DF$1,0))+1,0)="","",VLOOKUP('Gráficos Semanais'!$H44,AVES!$G$1:$DF$311,(MATCH('Gráficos Semanais'!$D$12,AVES!$H$1:$DF$1,0))+1,0))</f>
        <v/>
      </c>
      <c r="J44" s="84"/>
      <c r="K44" s="84" t="s">
        <v>572</v>
      </c>
      <c r="L44" s="84" t="e">
        <f>IF(VLOOKUP('Gráficos Semanais'!$K44,' OVOS'!$G$1:$DF$311,(MATCH('Gráficos Semanais'!$D$12,' OVOS'!$H$1:$DF$1,0))+1,0)="","",VLOOKUP('Gráficos Semanais'!$K44,' OVOS'!$G$1:$DF$311,(MATCH('Gráficos Semanais'!$D$12,' OVOS'!$H$1:$DF$1,0))+1,0))</f>
        <v>#N/A</v>
      </c>
      <c r="M44" s="84" t="e" cm="1">
        <f t="array" ref="M44">_xlfn.IFS(L44="","",L44&lt;='Base de dados'!$K$2,'Base de dados'!$K$1,L44&lt;='Base de dados'!$L$3,'Base de dados'!$L$1,L44&lt;='Base de dados'!$M$3,'Base de dados'!$M$1,L44&gt;='Base de dados'!$N$2,'Base de dados'!$N$1)</f>
        <v>#N/A</v>
      </c>
      <c r="N44" s="84"/>
      <c r="O44" s="84"/>
    </row>
    <row r="45" spans="1:15" s="85" customFormat="1" x14ac:dyDescent="0.25">
      <c r="A45" s="47"/>
      <c r="B45" s="47"/>
      <c r="C45" s="47"/>
      <c r="D45" s="47"/>
      <c r="E45" s="47"/>
      <c r="F45" s="47"/>
      <c r="G45" s="47"/>
      <c r="H45" s="86" t="s">
        <v>50</v>
      </c>
      <c r="I45" s="86" t="str">
        <f>IF(VLOOKUP('Gráficos Semanais'!$H45,AVES!$G$1:$DF$311,(MATCH('Gráficos Semanais'!$D$12,AVES!$H$1:$DF$1,0))+1,0)="","",VLOOKUP('Gráficos Semanais'!$H45,AVES!$G$1:$DF$311,(MATCH('Gráficos Semanais'!$D$12,AVES!$H$1:$DF$1,0))+1,0))</f>
        <v/>
      </c>
      <c r="J45" s="84"/>
      <c r="K45" s="84" t="s">
        <v>573</v>
      </c>
      <c r="L45" s="84" t="e">
        <f>IF(VLOOKUP('Gráficos Semanais'!$K45,' OVOS'!$G$1:$DF$311,(MATCH('Gráficos Semanais'!$D$12,' OVOS'!$H$1:$DF$1,0))+1,0)="","",VLOOKUP('Gráficos Semanais'!$K45,' OVOS'!$G$1:$DF$311,(MATCH('Gráficos Semanais'!$D$12,' OVOS'!$H$1:$DF$1,0))+1,0))</f>
        <v>#N/A</v>
      </c>
      <c r="M45" s="84" t="e" cm="1">
        <f t="array" ref="M45">_xlfn.IFS(L45="","",L45&lt;='Base de dados'!$K$2,'Base de dados'!$K$1,L45&lt;='Base de dados'!$L$3,'Base de dados'!$L$1,L45&lt;='Base de dados'!$M$3,'Base de dados'!$M$1,L45&gt;='Base de dados'!$N$2,'Base de dados'!$N$1)</f>
        <v>#N/A</v>
      </c>
      <c r="N45" s="84"/>
      <c r="O45" s="84"/>
    </row>
    <row r="46" spans="1:15" s="85" customFormat="1" x14ac:dyDescent="0.25">
      <c r="A46" s="47"/>
      <c r="B46" s="47"/>
      <c r="C46" s="47"/>
      <c r="D46" s="47"/>
      <c r="E46" s="47"/>
      <c r="F46" s="47"/>
      <c r="G46" s="47"/>
      <c r="H46" s="86" t="s">
        <v>51</v>
      </c>
      <c r="I46" s="86" t="str">
        <f>IF(VLOOKUP('Gráficos Semanais'!$H46,AVES!$G$1:$DF$311,(MATCH('Gráficos Semanais'!$D$12,AVES!$H$1:$DF$1,0))+1,0)="","",VLOOKUP('Gráficos Semanais'!$H46,AVES!$G$1:$DF$311,(MATCH('Gráficos Semanais'!$D$12,AVES!$H$1:$DF$1,0))+1,0))</f>
        <v/>
      </c>
      <c r="J46" s="84"/>
      <c r="K46" s="84" t="s">
        <v>574</v>
      </c>
      <c r="L46" s="84" t="e">
        <f>IF(VLOOKUP('Gráficos Semanais'!$K46,' OVOS'!$G$1:$DF$311,(MATCH('Gráficos Semanais'!$D$12,' OVOS'!$H$1:$DF$1,0))+1,0)="","",VLOOKUP('Gráficos Semanais'!$K46,' OVOS'!$G$1:$DF$311,(MATCH('Gráficos Semanais'!$D$12,' OVOS'!$H$1:$DF$1,0))+1,0))</f>
        <v>#N/A</v>
      </c>
      <c r="M46" s="84" t="e" cm="1">
        <f t="array" ref="M46">_xlfn.IFS(L46="","",L46&lt;='Base de dados'!$K$2,'Base de dados'!$K$1,L46&lt;='Base de dados'!$L$3,'Base de dados'!$L$1,L46&lt;='Base de dados'!$M$3,'Base de dados'!$M$1,L46&gt;='Base de dados'!$N$2,'Base de dados'!$N$1)</f>
        <v>#N/A</v>
      </c>
      <c r="N46" s="84"/>
      <c r="O46" s="84"/>
    </row>
    <row r="47" spans="1:15" s="85" customFormat="1" x14ac:dyDescent="0.25">
      <c r="A47" s="47"/>
      <c r="B47" s="47"/>
      <c r="C47" s="47"/>
      <c r="D47" s="47"/>
      <c r="E47" s="47"/>
      <c r="F47" s="47"/>
      <c r="G47" s="47"/>
      <c r="H47" s="86" t="s">
        <v>52</v>
      </c>
      <c r="I47" s="86" t="str">
        <f>IF(VLOOKUP('Gráficos Semanais'!$H47,AVES!$G$1:$DF$311,(MATCH('Gráficos Semanais'!$D$12,AVES!$H$1:$DF$1,0))+1,0)="","",VLOOKUP('Gráficos Semanais'!$H47,AVES!$G$1:$DF$311,(MATCH('Gráficos Semanais'!$D$12,AVES!$H$1:$DF$1,0))+1,0))</f>
        <v/>
      </c>
      <c r="J47" s="84"/>
      <c r="K47" s="84" t="s">
        <v>575</v>
      </c>
      <c r="L47" s="84" t="e">
        <f>IF(VLOOKUP('Gráficos Semanais'!$K47,' OVOS'!$G$1:$DF$311,(MATCH('Gráficos Semanais'!$D$12,' OVOS'!$H$1:$DF$1,0))+1,0)="","",VLOOKUP('Gráficos Semanais'!$K47,' OVOS'!$G$1:$DF$311,(MATCH('Gráficos Semanais'!$D$12,' OVOS'!$H$1:$DF$1,0))+1,0))</f>
        <v>#N/A</v>
      </c>
      <c r="M47" s="84" t="e" cm="1">
        <f t="array" ref="M47">_xlfn.IFS(L47="","",L47&lt;='Base de dados'!$K$2,'Base de dados'!$K$1,L47&lt;='Base de dados'!$L$3,'Base de dados'!$L$1,L47&lt;='Base de dados'!$M$3,'Base de dados'!$M$1,L47&gt;='Base de dados'!$N$2,'Base de dados'!$N$1)</f>
        <v>#N/A</v>
      </c>
      <c r="N47" s="84"/>
      <c r="O47" s="84"/>
    </row>
    <row r="48" spans="1:15" s="85" customFormat="1" x14ac:dyDescent="0.25">
      <c r="A48" s="47"/>
      <c r="B48" s="47"/>
      <c r="C48" s="47"/>
      <c r="D48" s="47"/>
      <c r="E48" s="47"/>
      <c r="F48" s="47"/>
      <c r="G48" s="47"/>
      <c r="H48" s="86" t="s">
        <v>53</v>
      </c>
      <c r="I48" s="86" t="str">
        <f>IF(VLOOKUP('Gráficos Semanais'!$H48,AVES!$G$1:$DF$311,(MATCH('Gráficos Semanais'!$D$12,AVES!$H$1:$DF$1,0))+1,0)="","",VLOOKUP('Gráficos Semanais'!$H48,AVES!$G$1:$DF$311,(MATCH('Gráficos Semanais'!$D$12,AVES!$H$1:$DF$1,0))+1,0))</f>
        <v/>
      </c>
      <c r="J48" s="84"/>
      <c r="K48" s="84" t="s">
        <v>576</v>
      </c>
      <c r="L48" s="84" t="e">
        <f>IF(VLOOKUP('Gráficos Semanais'!$K48,' OVOS'!$G$1:$DF$311,(MATCH('Gráficos Semanais'!$D$12,' OVOS'!$H$1:$DF$1,0))+1,0)="","",VLOOKUP('Gráficos Semanais'!$K48,' OVOS'!$G$1:$DF$311,(MATCH('Gráficos Semanais'!$D$12,' OVOS'!$H$1:$DF$1,0))+1,0))</f>
        <v>#N/A</v>
      </c>
      <c r="M48" s="84" t="e" cm="1">
        <f t="array" ref="M48">_xlfn.IFS(L48="","",L48&lt;='Base de dados'!$K$2,'Base de dados'!$K$1,L48&lt;='Base de dados'!$L$3,'Base de dados'!$L$1,L48&lt;='Base de dados'!$M$3,'Base de dados'!$M$1,L48&gt;='Base de dados'!$N$2,'Base de dados'!$N$1)</f>
        <v>#N/A</v>
      </c>
      <c r="N48" s="84"/>
      <c r="O48" s="84"/>
    </row>
    <row r="49" spans="1:15" s="85" customFormat="1" x14ac:dyDescent="0.25">
      <c r="A49" s="47"/>
      <c r="B49" s="47"/>
      <c r="C49" s="47"/>
      <c r="D49" s="47"/>
      <c r="E49" s="47"/>
      <c r="F49" s="47"/>
      <c r="G49" s="47"/>
      <c r="H49" s="86" t="s">
        <v>54</v>
      </c>
      <c r="I49" s="86" t="str">
        <f>IF(VLOOKUP('Gráficos Semanais'!$H49,AVES!$G$1:$DF$311,(MATCH('Gráficos Semanais'!$D$12,AVES!$H$1:$DF$1,0))+1,0)="","",VLOOKUP('Gráficos Semanais'!$H49,AVES!$G$1:$DF$311,(MATCH('Gráficos Semanais'!$D$12,AVES!$H$1:$DF$1,0))+1,0))</f>
        <v/>
      </c>
      <c r="J49" s="84"/>
      <c r="K49" s="84" t="s">
        <v>577</v>
      </c>
      <c r="L49" s="84" t="e">
        <f>IF(VLOOKUP('Gráficos Semanais'!$K49,' OVOS'!$G$1:$DF$311,(MATCH('Gráficos Semanais'!$D$12,' OVOS'!$H$1:$DF$1,0))+1,0)="","",VLOOKUP('Gráficos Semanais'!$K49,' OVOS'!$G$1:$DF$311,(MATCH('Gráficos Semanais'!$D$12,' OVOS'!$H$1:$DF$1,0))+1,0))</f>
        <v>#N/A</v>
      </c>
      <c r="M49" s="84" t="e" cm="1">
        <f t="array" ref="M49">_xlfn.IFS(L49="","",L49&lt;='Base de dados'!$K$2,'Base de dados'!$K$1,L49&lt;='Base de dados'!$L$3,'Base de dados'!$L$1,L49&lt;='Base de dados'!$M$3,'Base de dados'!$M$1,L49&gt;='Base de dados'!$N$2,'Base de dados'!$N$1)</f>
        <v>#N/A</v>
      </c>
      <c r="N49" s="84"/>
      <c r="O49" s="84"/>
    </row>
    <row r="50" spans="1:15" s="85" customFormat="1" x14ac:dyDescent="0.25">
      <c r="A50" s="47"/>
      <c r="B50" s="47"/>
      <c r="C50" s="47"/>
      <c r="D50" s="47"/>
      <c r="E50" s="47"/>
      <c r="F50" s="47"/>
      <c r="G50" s="47"/>
      <c r="H50" s="86" t="s">
        <v>55</v>
      </c>
      <c r="I50" s="86" t="str">
        <f>IF(VLOOKUP('Gráficos Semanais'!$H50,AVES!$G$1:$DF$311,(MATCH('Gráficos Semanais'!$D$12,AVES!$H$1:$DF$1,0))+1,0)="","",VLOOKUP('Gráficos Semanais'!$H50,AVES!$G$1:$DF$311,(MATCH('Gráficos Semanais'!$D$12,AVES!$H$1:$DF$1,0))+1,0))</f>
        <v/>
      </c>
      <c r="J50" s="84"/>
      <c r="K50" s="84" t="s">
        <v>578</v>
      </c>
      <c r="L50" s="84" t="e">
        <f>IF(VLOOKUP('Gráficos Semanais'!$K50,' OVOS'!$G$1:$DF$311,(MATCH('Gráficos Semanais'!$D$12,' OVOS'!$H$1:$DF$1,0))+1,0)="","",VLOOKUP('Gráficos Semanais'!$K50,' OVOS'!$G$1:$DF$311,(MATCH('Gráficos Semanais'!$D$12,' OVOS'!$H$1:$DF$1,0))+1,0))</f>
        <v>#N/A</v>
      </c>
      <c r="M50" s="84" t="e" cm="1">
        <f t="array" ref="M50">_xlfn.IFS(L50="","",L50&lt;='Base de dados'!$K$2,'Base de dados'!$K$1,L50&lt;='Base de dados'!$L$3,'Base de dados'!$L$1,L50&lt;='Base de dados'!$M$3,'Base de dados'!$M$1,L50&gt;='Base de dados'!$N$2,'Base de dados'!$N$1)</f>
        <v>#N/A</v>
      </c>
      <c r="N50" s="84"/>
      <c r="O50" s="84"/>
    </row>
    <row r="51" spans="1:15" s="85" customFormat="1" x14ac:dyDescent="0.25">
      <c r="A51" s="47"/>
      <c r="B51" s="47"/>
      <c r="C51" s="47"/>
      <c r="D51" s="47"/>
      <c r="E51" s="47"/>
      <c r="F51" s="47"/>
      <c r="G51" s="47"/>
      <c r="H51" s="86" t="s">
        <v>56</v>
      </c>
      <c r="I51" s="86" t="str">
        <f>IF(VLOOKUP('Gráficos Semanais'!$H51,AVES!$G$1:$DF$311,(MATCH('Gráficos Semanais'!$D$12,AVES!$H$1:$DF$1,0))+1,0)="","",VLOOKUP('Gráficos Semanais'!$H51,AVES!$G$1:$DF$311,(MATCH('Gráficos Semanais'!$D$12,AVES!$H$1:$DF$1,0))+1,0))</f>
        <v/>
      </c>
      <c r="J51" s="84"/>
      <c r="K51" s="84" t="s">
        <v>579</v>
      </c>
      <c r="L51" s="84" t="e">
        <f>IF(VLOOKUP('Gráficos Semanais'!$K51,' OVOS'!$G$1:$DF$311,(MATCH('Gráficos Semanais'!$D$12,' OVOS'!$H$1:$DF$1,0))+1,0)="","",VLOOKUP('Gráficos Semanais'!$K51,' OVOS'!$G$1:$DF$311,(MATCH('Gráficos Semanais'!$D$12,' OVOS'!$H$1:$DF$1,0))+1,0))</f>
        <v>#N/A</v>
      </c>
      <c r="M51" s="84" t="e" cm="1">
        <f t="array" ref="M51">_xlfn.IFS(L51="","",L51&lt;='Base de dados'!$K$2,'Base de dados'!$K$1,L51&lt;='Base de dados'!$L$3,'Base de dados'!$L$1,L51&lt;='Base de dados'!$M$3,'Base de dados'!$M$1,L51&gt;='Base de dados'!$N$2,'Base de dados'!$N$1)</f>
        <v>#N/A</v>
      </c>
      <c r="N51" s="84"/>
      <c r="O51" s="84"/>
    </row>
    <row r="52" spans="1:15" s="85" customFormat="1" x14ac:dyDescent="0.25">
      <c r="A52" s="47"/>
      <c r="B52" s="47"/>
      <c r="C52" s="47"/>
      <c r="D52" s="47"/>
      <c r="E52" s="47"/>
      <c r="F52" s="47"/>
      <c r="G52" s="47"/>
      <c r="H52" s="86" t="s">
        <v>57</v>
      </c>
      <c r="I52" s="86" t="str">
        <f>IF(VLOOKUP('Gráficos Semanais'!$H52,AVES!$G$1:$DF$311,(MATCH('Gráficos Semanais'!$D$12,AVES!$H$1:$DF$1,0))+1,0)="","",VLOOKUP('Gráficos Semanais'!$H52,AVES!$G$1:$DF$311,(MATCH('Gráficos Semanais'!$D$12,AVES!$H$1:$DF$1,0))+1,0))</f>
        <v/>
      </c>
      <c r="J52" s="84"/>
      <c r="K52" s="84" t="s">
        <v>580</v>
      </c>
      <c r="L52" s="84" t="e">
        <f>IF(VLOOKUP('Gráficos Semanais'!$K52,' OVOS'!$G$1:$DF$311,(MATCH('Gráficos Semanais'!$D$12,' OVOS'!$H$1:$DF$1,0))+1,0)="","",VLOOKUP('Gráficos Semanais'!$K52,' OVOS'!$G$1:$DF$311,(MATCH('Gráficos Semanais'!$D$12,' OVOS'!$H$1:$DF$1,0))+1,0))</f>
        <v>#N/A</v>
      </c>
      <c r="M52" s="84" t="e" cm="1">
        <f t="array" ref="M52">_xlfn.IFS(L52="","",L52&lt;='Base de dados'!$K$2,'Base de dados'!$K$1,L52&lt;='Base de dados'!$L$3,'Base de dados'!$L$1,L52&lt;='Base de dados'!$M$3,'Base de dados'!$M$1,L52&gt;='Base de dados'!$N$2,'Base de dados'!$N$1)</f>
        <v>#N/A</v>
      </c>
      <c r="N52" s="84"/>
      <c r="O52" s="84"/>
    </row>
    <row r="53" spans="1:15" s="85" customFormat="1" x14ac:dyDescent="0.25">
      <c r="A53" s="47"/>
      <c r="B53" s="47"/>
      <c r="C53" s="47"/>
      <c r="D53" s="47"/>
      <c r="E53" s="47"/>
      <c r="F53" s="47"/>
      <c r="G53" s="47"/>
      <c r="H53" s="86" t="s">
        <v>58</v>
      </c>
      <c r="I53" s="86" t="str">
        <f>IF(VLOOKUP('Gráficos Semanais'!$H53,AVES!$G$1:$DF$311,(MATCH('Gráficos Semanais'!$D$12,AVES!$H$1:$DF$1,0))+1,0)="","",VLOOKUP('Gráficos Semanais'!$H53,AVES!$G$1:$DF$311,(MATCH('Gráficos Semanais'!$D$12,AVES!$H$1:$DF$1,0))+1,0))</f>
        <v/>
      </c>
      <c r="J53" s="84"/>
      <c r="K53" s="84" t="s">
        <v>581</v>
      </c>
      <c r="L53" s="84" t="e">
        <f>IF(VLOOKUP('Gráficos Semanais'!$K53,' OVOS'!$G$1:$DF$311,(MATCH('Gráficos Semanais'!$D$12,' OVOS'!$H$1:$DF$1,0))+1,0)="","",VLOOKUP('Gráficos Semanais'!$K53,' OVOS'!$G$1:$DF$311,(MATCH('Gráficos Semanais'!$D$12,' OVOS'!$H$1:$DF$1,0))+1,0))</f>
        <v>#N/A</v>
      </c>
      <c r="M53" s="84" t="e" cm="1">
        <f t="array" ref="M53">_xlfn.IFS(L53="","",L53&lt;='Base de dados'!$K$2,'Base de dados'!$K$1,L53&lt;='Base de dados'!$L$3,'Base de dados'!$L$1,L53&lt;='Base de dados'!$M$3,'Base de dados'!$M$1,L53&gt;='Base de dados'!$N$2,'Base de dados'!$N$1)</f>
        <v>#N/A</v>
      </c>
      <c r="N53" s="84"/>
      <c r="O53" s="84"/>
    </row>
    <row r="54" spans="1:15" s="85" customFormat="1" x14ac:dyDescent="0.25">
      <c r="A54" s="47"/>
      <c r="B54" s="47"/>
      <c r="C54" s="47"/>
      <c r="D54" s="47"/>
      <c r="E54" s="47"/>
      <c r="F54" s="47"/>
      <c r="G54" s="47"/>
      <c r="H54" s="86" t="s">
        <v>59</v>
      </c>
      <c r="I54" s="86" t="str">
        <f>IF(VLOOKUP('Gráficos Semanais'!$H54,AVES!$G$1:$DF$311,(MATCH('Gráficos Semanais'!$D$12,AVES!$H$1:$DF$1,0))+1,0)="","",VLOOKUP('Gráficos Semanais'!$H54,AVES!$G$1:$DF$311,(MATCH('Gráficos Semanais'!$D$12,AVES!$H$1:$DF$1,0))+1,0))</f>
        <v/>
      </c>
      <c r="J54" s="84"/>
      <c r="K54" s="84" t="s">
        <v>582</v>
      </c>
      <c r="L54" s="84" t="e">
        <f>IF(VLOOKUP('Gráficos Semanais'!$K54,' OVOS'!$G$1:$DF$311,(MATCH('Gráficos Semanais'!$D$12,' OVOS'!$H$1:$DF$1,0))+1,0)="","",VLOOKUP('Gráficos Semanais'!$K54,' OVOS'!$G$1:$DF$311,(MATCH('Gráficos Semanais'!$D$12,' OVOS'!$H$1:$DF$1,0))+1,0))</f>
        <v>#N/A</v>
      </c>
      <c r="M54" s="84" t="e" cm="1">
        <f t="array" ref="M54">_xlfn.IFS(L54="","",L54&lt;='Base de dados'!$K$2,'Base de dados'!$K$1,L54&lt;='Base de dados'!$L$3,'Base de dados'!$L$1,L54&lt;='Base de dados'!$M$3,'Base de dados'!$M$1,L54&gt;='Base de dados'!$N$2,'Base de dados'!$N$1)</f>
        <v>#N/A</v>
      </c>
      <c r="N54" s="84"/>
      <c r="O54" s="84"/>
    </row>
    <row r="55" spans="1:15" s="85" customFormat="1" x14ac:dyDescent="0.25">
      <c r="A55" s="47"/>
      <c r="B55" s="47"/>
      <c r="C55" s="47"/>
      <c r="D55" s="47"/>
      <c r="E55" s="47"/>
      <c r="F55" s="47"/>
      <c r="G55" s="47"/>
      <c r="H55" s="86" t="s">
        <v>60</v>
      </c>
      <c r="I55" s="86" t="str">
        <f>IF(VLOOKUP('Gráficos Semanais'!$H55,AVES!$G$1:$DF$311,(MATCH('Gráficos Semanais'!$D$12,AVES!$H$1:$DF$1,0))+1,0)="","",VLOOKUP('Gráficos Semanais'!$H55,AVES!$G$1:$DF$311,(MATCH('Gráficos Semanais'!$D$12,AVES!$H$1:$DF$1,0))+1,0))</f>
        <v/>
      </c>
      <c r="J55" s="84"/>
      <c r="K55" s="84" t="s">
        <v>583</v>
      </c>
      <c r="L55" s="84" t="e">
        <f>IF(VLOOKUP('Gráficos Semanais'!$K55,' OVOS'!$G$1:$DF$311,(MATCH('Gráficos Semanais'!$D$12,' OVOS'!$H$1:$DF$1,0))+1,0)="","",VLOOKUP('Gráficos Semanais'!$K55,' OVOS'!$G$1:$DF$311,(MATCH('Gráficos Semanais'!$D$12,' OVOS'!$H$1:$DF$1,0))+1,0))</f>
        <v>#N/A</v>
      </c>
      <c r="M55" s="84" t="e" cm="1">
        <f t="array" ref="M55">_xlfn.IFS(L55="","",L55&lt;='Base de dados'!$K$2,'Base de dados'!$K$1,L55&lt;='Base de dados'!$L$3,'Base de dados'!$L$1,L55&lt;='Base de dados'!$M$3,'Base de dados'!$M$1,L55&gt;='Base de dados'!$N$2,'Base de dados'!$N$1)</f>
        <v>#N/A</v>
      </c>
      <c r="N55" s="84"/>
      <c r="O55" s="84"/>
    </row>
    <row r="56" spans="1:15" s="85" customFormat="1" x14ac:dyDescent="0.25">
      <c r="A56" s="47"/>
      <c r="B56" s="47"/>
      <c r="C56" s="47"/>
      <c r="D56" s="47"/>
      <c r="E56" s="47"/>
      <c r="F56" s="47"/>
      <c r="G56" s="47"/>
      <c r="H56" s="86" t="s">
        <v>61</v>
      </c>
      <c r="I56" s="86" t="str">
        <f>IF(VLOOKUP('Gráficos Semanais'!$H56,AVES!$G$1:$DF$311,(MATCH('Gráficos Semanais'!$D$12,AVES!$H$1:$DF$1,0))+1,0)="","",VLOOKUP('Gráficos Semanais'!$H56,AVES!$G$1:$DF$311,(MATCH('Gráficos Semanais'!$D$12,AVES!$H$1:$DF$1,0))+1,0))</f>
        <v/>
      </c>
      <c r="J56" s="84"/>
      <c r="K56" s="84" t="s">
        <v>584</v>
      </c>
      <c r="L56" s="84" t="e">
        <f>IF(VLOOKUP('Gráficos Semanais'!$K56,' OVOS'!$G$1:$DF$311,(MATCH('Gráficos Semanais'!$D$12,' OVOS'!$H$1:$DF$1,0))+1,0)="","",VLOOKUP('Gráficos Semanais'!$K56,' OVOS'!$G$1:$DF$311,(MATCH('Gráficos Semanais'!$D$12,' OVOS'!$H$1:$DF$1,0))+1,0))</f>
        <v>#N/A</v>
      </c>
      <c r="M56" s="84" t="e" cm="1">
        <f t="array" ref="M56">_xlfn.IFS(L56="","",L56&lt;='Base de dados'!$K$2,'Base de dados'!$K$1,L56&lt;='Base de dados'!$L$3,'Base de dados'!$L$1,L56&lt;='Base de dados'!$M$3,'Base de dados'!$M$1,L56&gt;='Base de dados'!$N$2,'Base de dados'!$N$1)</f>
        <v>#N/A</v>
      </c>
      <c r="N56" s="84"/>
      <c r="O56" s="84"/>
    </row>
    <row r="57" spans="1:15" s="85" customFormat="1" x14ac:dyDescent="0.25">
      <c r="A57" s="47"/>
      <c r="B57" s="47"/>
      <c r="C57" s="47"/>
      <c r="D57" s="47"/>
      <c r="E57" s="47"/>
      <c r="F57" s="47"/>
      <c r="G57" s="47"/>
      <c r="H57" s="86" t="s">
        <v>62</v>
      </c>
      <c r="I57" s="86" t="str">
        <f>IF(VLOOKUP('Gráficos Semanais'!$H57,AVES!$G$1:$DF$311,(MATCH('Gráficos Semanais'!$D$12,AVES!$H$1:$DF$1,0))+1,0)="","",VLOOKUP('Gráficos Semanais'!$H57,AVES!$G$1:$DF$311,(MATCH('Gráficos Semanais'!$D$12,AVES!$H$1:$DF$1,0))+1,0))</f>
        <v/>
      </c>
      <c r="J57" s="84"/>
      <c r="K57" s="84" t="s">
        <v>585</v>
      </c>
      <c r="L57" s="84" t="e">
        <f>IF(VLOOKUP('Gráficos Semanais'!$K57,' OVOS'!$G$1:$DF$311,(MATCH('Gráficos Semanais'!$D$12,' OVOS'!$H$1:$DF$1,0))+1,0)="","",VLOOKUP('Gráficos Semanais'!$K57,' OVOS'!$G$1:$DF$311,(MATCH('Gráficos Semanais'!$D$12,' OVOS'!$H$1:$DF$1,0))+1,0))</f>
        <v>#N/A</v>
      </c>
      <c r="M57" s="84" t="e" cm="1">
        <f t="array" ref="M57">_xlfn.IFS(L57="","",L57&lt;='Base de dados'!$K$2,'Base de dados'!$K$1,L57&lt;='Base de dados'!$L$3,'Base de dados'!$L$1,L57&lt;='Base de dados'!$M$3,'Base de dados'!$M$1,L57&gt;='Base de dados'!$N$2,'Base de dados'!$N$1)</f>
        <v>#N/A</v>
      </c>
      <c r="N57" s="84"/>
      <c r="O57" s="84"/>
    </row>
    <row r="58" spans="1:15" s="85" customFormat="1" x14ac:dyDescent="0.25">
      <c r="A58" s="47"/>
      <c r="B58" s="47"/>
      <c r="C58" s="47"/>
      <c r="D58" s="47"/>
      <c r="E58" s="47"/>
      <c r="F58" s="47"/>
      <c r="G58" s="47"/>
      <c r="H58" s="86" t="s">
        <v>63</v>
      </c>
      <c r="I58" s="86" t="str">
        <f>IF(VLOOKUP('Gráficos Semanais'!$H58,AVES!$G$1:$DF$311,(MATCH('Gráficos Semanais'!$D$12,AVES!$H$1:$DF$1,0))+1,0)="","",VLOOKUP('Gráficos Semanais'!$H58,AVES!$G$1:$DF$311,(MATCH('Gráficos Semanais'!$D$12,AVES!$H$1:$DF$1,0))+1,0))</f>
        <v/>
      </c>
      <c r="J58" s="84"/>
      <c r="K58" s="84" t="s">
        <v>586</v>
      </c>
      <c r="L58" s="84" t="e">
        <f>IF(VLOOKUP('Gráficos Semanais'!$K58,' OVOS'!$G$1:$DF$311,(MATCH('Gráficos Semanais'!$D$12,' OVOS'!$H$1:$DF$1,0))+1,0)="","",VLOOKUP('Gráficos Semanais'!$K58,' OVOS'!$G$1:$DF$311,(MATCH('Gráficos Semanais'!$D$12,' OVOS'!$H$1:$DF$1,0))+1,0))</f>
        <v>#N/A</v>
      </c>
      <c r="M58" s="84" t="e" cm="1">
        <f t="array" ref="M58">_xlfn.IFS(L58="","",L58&lt;='Base de dados'!$K$2,'Base de dados'!$K$1,L58&lt;='Base de dados'!$L$3,'Base de dados'!$L$1,L58&lt;='Base de dados'!$M$3,'Base de dados'!$M$1,L58&gt;='Base de dados'!$N$2,'Base de dados'!$N$1)</f>
        <v>#N/A</v>
      </c>
      <c r="N58" s="84"/>
      <c r="O58" s="84"/>
    </row>
    <row r="59" spans="1:15" s="85" customFormat="1" x14ac:dyDescent="0.25">
      <c r="A59" s="47"/>
      <c r="B59" s="47"/>
      <c r="C59" s="47"/>
      <c r="D59" s="47"/>
      <c r="E59" s="47"/>
      <c r="F59" s="47"/>
      <c r="G59" s="47"/>
      <c r="H59" s="86" t="s">
        <v>64</v>
      </c>
      <c r="I59" s="86" t="str">
        <f>IF(VLOOKUP('Gráficos Semanais'!$H59,AVES!$G$1:$DF$311,(MATCH('Gráficos Semanais'!$D$12,AVES!$H$1:$DF$1,0))+1,0)="","",VLOOKUP('Gráficos Semanais'!$H59,AVES!$G$1:$DF$311,(MATCH('Gráficos Semanais'!$D$12,AVES!$H$1:$DF$1,0))+1,0))</f>
        <v/>
      </c>
      <c r="J59" s="84"/>
      <c r="K59" s="84" t="s">
        <v>587</v>
      </c>
      <c r="L59" s="84" t="e">
        <f>IF(VLOOKUP('Gráficos Semanais'!$K59,' OVOS'!$G$1:$DF$311,(MATCH('Gráficos Semanais'!$D$12,' OVOS'!$H$1:$DF$1,0))+1,0)="","",VLOOKUP('Gráficos Semanais'!$K59,' OVOS'!$G$1:$DF$311,(MATCH('Gráficos Semanais'!$D$12,' OVOS'!$H$1:$DF$1,0))+1,0))</f>
        <v>#N/A</v>
      </c>
      <c r="M59" s="84" t="e" cm="1">
        <f t="array" ref="M59">_xlfn.IFS(L59="","",L59&lt;='Base de dados'!$K$2,'Base de dados'!$K$1,L59&lt;='Base de dados'!$L$3,'Base de dados'!$L$1,L59&lt;='Base de dados'!$M$3,'Base de dados'!$M$1,L59&gt;='Base de dados'!$N$2,'Base de dados'!$N$1)</f>
        <v>#N/A</v>
      </c>
      <c r="N59" s="84"/>
      <c r="O59" s="84"/>
    </row>
    <row r="60" spans="1:15" s="85" customFormat="1" x14ac:dyDescent="0.25">
      <c r="A60" s="47"/>
      <c r="B60" s="47"/>
      <c r="C60" s="47"/>
      <c r="D60" s="47"/>
      <c r="E60" s="47"/>
      <c r="F60" s="47"/>
      <c r="G60" s="47"/>
      <c r="H60" s="86" t="s">
        <v>65</v>
      </c>
      <c r="I60" s="86" t="str">
        <f>IF(VLOOKUP('Gráficos Semanais'!$H60,AVES!$G$1:$DF$311,(MATCH('Gráficos Semanais'!$D$12,AVES!$H$1:$DF$1,0))+1,0)="","",VLOOKUP('Gráficos Semanais'!$H60,AVES!$G$1:$DF$311,(MATCH('Gráficos Semanais'!$D$12,AVES!$H$1:$DF$1,0))+1,0))</f>
        <v/>
      </c>
      <c r="J60" s="84"/>
      <c r="K60" s="84" t="s">
        <v>588</v>
      </c>
      <c r="L60" s="84" t="e">
        <f>IF(VLOOKUP('Gráficos Semanais'!$K60,' OVOS'!$G$1:$DF$311,(MATCH('Gráficos Semanais'!$D$12,' OVOS'!$H$1:$DF$1,0))+1,0)="","",VLOOKUP('Gráficos Semanais'!$K60,' OVOS'!$G$1:$DF$311,(MATCH('Gráficos Semanais'!$D$12,' OVOS'!$H$1:$DF$1,0))+1,0))</f>
        <v>#N/A</v>
      </c>
      <c r="M60" s="84" t="e" cm="1">
        <f t="array" ref="M60">_xlfn.IFS(L60="","",L60&lt;='Base de dados'!$K$2,'Base de dados'!$K$1,L60&lt;='Base de dados'!$L$3,'Base de dados'!$L$1,L60&lt;='Base de dados'!$M$3,'Base de dados'!$M$1,L60&gt;='Base de dados'!$N$2,'Base de dados'!$N$1)</f>
        <v>#N/A</v>
      </c>
      <c r="N60" s="84"/>
      <c r="O60" s="84"/>
    </row>
    <row r="61" spans="1:15" s="85" customFormat="1" x14ac:dyDescent="0.25">
      <c r="A61" s="47"/>
      <c r="B61" s="47"/>
      <c r="C61" s="47"/>
      <c r="D61" s="47"/>
      <c r="E61" s="47"/>
      <c r="F61" s="47"/>
      <c r="G61" s="47"/>
      <c r="H61" s="86" t="s">
        <v>66</v>
      </c>
      <c r="I61" s="86" t="str">
        <f>IF(VLOOKUP('Gráficos Semanais'!$H61,AVES!$G$1:$DF$311,(MATCH('Gráficos Semanais'!$D$12,AVES!$H$1:$DF$1,0))+1,0)="","",VLOOKUP('Gráficos Semanais'!$H61,AVES!$G$1:$DF$311,(MATCH('Gráficos Semanais'!$D$12,AVES!$H$1:$DF$1,0))+1,0))</f>
        <v/>
      </c>
      <c r="J61" s="84"/>
      <c r="K61" s="84" t="s">
        <v>589</v>
      </c>
      <c r="L61" s="84" t="e">
        <f>IF(VLOOKUP('Gráficos Semanais'!$K61,' OVOS'!$G$1:$DF$311,(MATCH('Gráficos Semanais'!$D$12,' OVOS'!$H$1:$DF$1,0))+1,0)="","",VLOOKUP('Gráficos Semanais'!$K61,' OVOS'!$G$1:$DF$311,(MATCH('Gráficos Semanais'!$D$12,' OVOS'!$H$1:$DF$1,0))+1,0))</f>
        <v>#N/A</v>
      </c>
      <c r="M61" s="84" t="e" cm="1">
        <f t="array" ref="M61">_xlfn.IFS(L61="","",L61&lt;='Base de dados'!$K$2,'Base de dados'!$K$1,L61&lt;='Base de dados'!$L$3,'Base de dados'!$L$1,L61&lt;='Base de dados'!$M$3,'Base de dados'!$M$1,L61&gt;='Base de dados'!$N$2,'Base de dados'!$N$1)</f>
        <v>#N/A</v>
      </c>
      <c r="N61" s="84"/>
      <c r="O61" s="84"/>
    </row>
    <row r="62" spans="1:15" s="85" customFormat="1" x14ac:dyDescent="0.25">
      <c r="A62" s="47"/>
      <c r="B62" s="47"/>
      <c r="C62" s="47"/>
      <c r="D62" s="47"/>
      <c r="E62" s="47"/>
      <c r="F62" s="47"/>
      <c r="G62" s="47"/>
      <c r="H62" s="86" t="s">
        <v>67</v>
      </c>
      <c r="I62" s="86" t="str">
        <f>IF(VLOOKUP('Gráficos Semanais'!$H62,AVES!$G$1:$DF$311,(MATCH('Gráficos Semanais'!$D$12,AVES!$H$1:$DF$1,0))+1,0)="","",VLOOKUP('Gráficos Semanais'!$H62,AVES!$G$1:$DF$311,(MATCH('Gráficos Semanais'!$D$12,AVES!$H$1:$DF$1,0))+1,0))</f>
        <v/>
      </c>
      <c r="J62" s="84"/>
      <c r="K62" s="84" t="s">
        <v>590</v>
      </c>
      <c r="L62" s="84" t="e">
        <f>IF(VLOOKUP('Gráficos Semanais'!$K62,' OVOS'!$G$1:$DF$311,(MATCH('Gráficos Semanais'!$D$12,' OVOS'!$H$1:$DF$1,0))+1,0)="","",VLOOKUP('Gráficos Semanais'!$K62,' OVOS'!$G$1:$DF$311,(MATCH('Gráficos Semanais'!$D$12,' OVOS'!$H$1:$DF$1,0))+1,0))</f>
        <v>#N/A</v>
      </c>
      <c r="M62" s="84" t="e" cm="1">
        <f t="array" ref="M62">_xlfn.IFS(L62="","",L62&lt;='Base de dados'!$K$2,'Base de dados'!$K$1,L62&lt;='Base de dados'!$L$3,'Base de dados'!$L$1,L62&lt;='Base de dados'!$M$3,'Base de dados'!$M$1,L62&gt;='Base de dados'!$N$2,'Base de dados'!$N$1)</f>
        <v>#N/A</v>
      </c>
      <c r="N62" s="84"/>
      <c r="O62" s="84"/>
    </row>
    <row r="63" spans="1:15" s="85" customFormat="1" x14ac:dyDescent="0.25">
      <c r="A63" s="47"/>
      <c r="B63" s="47"/>
      <c r="C63" s="47"/>
      <c r="D63" s="47"/>
      <c r="E63" s="47"/>
      <c r="F63" s="47"/>
      <c r="G63" s="47"/>
      <c r="H63" s="86" t="s">
        <v>68</v>
      </c>
      <c r="I63" s="86" t="str">
        <f>IF(VLOOKUP('Gráficos Semanais'!$H63,AVES!$G$1:$DF$311,(MATCH('Gráficos Semanais'!$D$12,AVES!$H$1:$DF$1,0))+1,0)="","",VLOOKUP('Gráficos Semanais'!$H63,AVES!$G$1:$DF$311,(MATCH('Gráficos Semanais'!$D$12,AVES!$H$1:$DF$1,0))+1,0))</f>
        <v/>
      </c>
      <c r="J63" s="84"/>
      <c r="K63" s="84" t="s">
        <v>591</v>
      </c>
      <c r="L63" s="84" t="e">
        <f>IF(VLOOKUP('Gráficos Semanais'!$K63,' OVOS'!$G$1:$DF$311,(MATCH('Gráficos Semanais'!$D$12,' OVOS'!$H$1:$DF$1,0))+1,0)="","",VLOOKUP('Gráficos Semanais'!$K63,' OVOS'!$G$1:$DF$311,(MATCH('Gráficos Semanais'!$D$12,' OVOS'!$H$1:$DF$1,0))+1,0))</f>
        <v>#N/A</v>
      </c>
      <c r="M63" s="84" t="e" cm="1">
        <f t="array" ref="M63">_xlfn.IFS(L63="","",L63&lt;='Base de dados'!$K$2,'Base de dados'!$K$1,L63&lt;='Base de dados'!$L$3,'Base de dados'!$L$1,L63&lt;='Base de dados'!$M$3,'Base de dados'!$M$1,L63&gt;='Base de dados'!$N$2,'Base de dados'!$N$1)</f>
        <v>#N/A</v>
      </c>
      <c r="N63" s="84"/>
      <c r="O63" s="84"/>
    </row>
    <row r="64" spans="1:15" s="85" customFormat="1" x14ac:dyDescent="0.25">
      <c r="A64" s="47"/>
      <c r="B64" s="47"/>
      <c r="C64" s="47"/>
      <c r="D64" s="47"/>
      <c r="E64" s="47"/>
      <c r="F64" s="47"/>
      <c r="G64" s="47"/>
      <c r="H64" s="86" t="s">
        <v>69</v>
      </c>
      <c r="I64" s="86" t="str">
        <f>IF(VLOOKUP('Gráficos Semanais'!$H64,AVES!$G$1:$DF$311,(MATCH('Gráficos Semanais'!$D$12,AVES!$H$1:$DF$1,0))+1,0)="","",VLOOKUP('Gráficos Semanais'!$H64,AVES!$G$1:$DF$311,(MATCH('Gráficos Semanais'!$D$12,AVES!$H$1:$DF$1,0))+1,0))</f>
        <v/>
      </c>
      <c r="J64" s="84"/>
      <c r="K64" s="84" t="s">
        <v>592</v>
      </c>
      <c r="L64" s="84" t="e">
        <f>IF(VLOOKUP('Gráficos Semanais'!$K64,' OVOS'!$G$1:$DF$311,(MATCH('Gráficos Semanais'!$D$12,' OVOS'!$H$1:$DF$1,0))+1,0)="","",VLOOKUP('Gráficos Semanais'!$K64,' OVOS'!$G$1:$DF$311,(MATCH('Gráficos Semanais'!$D$12,' OVOS'!$H$1:$DF$1,0))+1,0))</f>
        <v>#N/A</v>
      </c>
      <c r="M64" s="84" t="e" cm="1">
        <f t="array" ref="M64">_xlfn.IFS(L64="","",L64&lt;='Base de dados'!$K$2,'Base de dados'!$K$1,L64&lt;='Base de dados'!$L$3,'Base de dados'!$L$1,L64&lt;='Base de dados'!$M$3,'Base de dados'!$M$1,L64&gt;='Base de dados'!$N$2,'Base de dados'!$N$1)</f>
        <v>#N/A</v>
      </c>
      <c r="N64" s="84"/>
      <c r="O64" s="84"/>
    </row>
    <row r="65" spans="1:15" s="85" customFormat="1" x14ac:dyDescent="0.25">
      <c r="A65" s="47"/>
      <c r="B65" s="47"/>
      <c r="C65" s="47"/>
      <c r="D65" s="47"/>
      <c r="E65" s="47"/>
      <c r="F65" s="47"/>
      <c r="G65" s="47"/>
      <c r="H65" s="86" t="s">
        <v>70</v>
      </c>
      <c r="I65" s="86" t="str">
        <f>IF(VLOOKUP('Gráficos Semanais'!$H65,AVES!$G$1:$DF$311,(MATCH('Gráficos Semanais'!$D$12,AVES!$H$1:$DF$1,0))+1,0)="","",VLOOKUP('Gráficos Semanais'!$H65,AVES!$G$1:$DF$311,(MATCH('Gráficos Semanais'!$D$12,AVES!$H$1:$DF$1,0))+1,0))</f>
        <v/>
      </c>
      <c r="J65" s="84"/>
      <c r="K65" s="84" t="s">
        <v>593</v>
      </c>
      <c r="L65" s="84" t="e">
        <f>IF(VLOOKUP('Gráficos Semanais'!$K65,' OVOS'!$G$1:$DF$311,(MATCH('Gráficos Semanais'!$D$12,' OVOS'!$H$1:$DF$1,0))+1,0)="","",VLOOKUP('Gráficos Semanais'!$K65,' OVOS'!$G$1:$DF$311,(MATCH('Gráficos Semanais'!$D$12,' OVOS'!$H$1:$DF$1,0))+1,0))</f>
        <v>#N/A</v>
      </c>
      <c r="M65" s="84" t="e" cm="1">
        <f t="array" ref="M65">_xlfn.IFS(L65="","",L65&lt;='Base de dados'!$K$2,'Base de dados'!$K$1,L65&lt;='Base de dados'!$L$3,'Base de dados'!$L$1,L65&lt;='Base de dados'!$M$3,'Base de dados'!$M$1,L65&gt;='Base de dados'!$N$2,'Base de dados'!$N$1)</f>
        <v>#N/A</v>
      </c>
      <c r="N65" s="84"/>
      <c r="O65" s="84"/>
    </row>
    <row r="66" spans="1:15" s="85" customFormat="1" x14ac:dyDescent="0.25">
      <c r="A66" s="47"/>
      <c r="B66" s="47"/>
      <c r="C66" s="47"/>
      <c r="D66" s="47"/>
      <c r="E66" s="47"/>
      <c r="F66" s="47"/>
      <c r="G66" s="47"/>
      <c r="H66" s="86" t="s">
        <v>71</v>
      </c>
      <c r="I66" s="86" t="str">
        <f>IF(VLOOKUP('Gráficos Semanais'!$H66,AVES!$G$1:$DF$311,(MATCH('Gráficos Semanais'!$D$12,AVES!$H$1:$DF$1,0))+1,0)="","",VLOOKUP('Gráficos Semanais'!$H66,AVES!$G$1:$DF$311,(MATCH('Gráficos Semanais'!$D$12,AVES!$H$1:$DF$1,0))+1,0))</f>
        <v/>
      </c>
      <c r="J66" s="84"/>
      <c r="K66" s="84" t="s">
        <v>594</v>
      </c>
      <c r="L66" s="84" t="e">
        <f>IF(VLOOKUP('Gráficos Semanais'!$K66,' OVOS'!$G$1:$DF$311,(MATCH('Gráficos Semanais'!$D$12,' OVOS'!$H$1:$DF$1,0))+1,0)="","",VLOOKUP('Gráficos Semanais'!$K66,' OVOS'!$G$1:$DF$311,(MATCH('Gráficos Semanais'!$D$12,' OVOS'!$H$1:$DF$1,0))+1,0))</f>
        <v>#N/A</v>
      </c>
      <c r="M66" s="84" t="e" cm="1">
        <f t="array" ref="M66">_xlfn.IFS(L66="","",L66&lt;='Base de dados'!$K$2,'Base de dados'!$K$1,L66&lt;='Base de dados'!$L$3,'Base de dados'!$L$1,L66&lt;='Base de dados'!$M$3,'Base de dados'!$M$1,L66&gt;='Base de dados'!$N$2,'Base de dados'!$N$1)</f>
        <v>#N/A</v>
      </c>
      <c r="N66" s="84"/>
      <c r="O66" s="84"/>
    </row>
    <row r="67" spans="1:15" s="85" customFormat="1" x14ac:dyDescent="0.25">
      <c r="A67" s="47"/>
      <c r="B67" s="47"/>
      <c r="C67" s="47"/>
      <c r="D67" s="47"/>
      <c r="E67" s="47"/>
      <c r="F67" s="47"/>
      <c r="G67" s="47"/>
      <c r="H67" s="86" t="s">
        <v>72</v>
      </c>
      <c r="I67" s="86" t="str">
        <f>IF(VLOOKUP('Gráficos Semanais'!$H67,AVES!$G$1:$DF$311,(MATCH('Gráficos Semanais'!$D$12,AVES!$H$1:$DF$1,0))+1,0)="","",VLOOKUP('Gráficos Semanais'!$H67,AVES!$G$1:$DF$311,(MATCH('Gráficos Semanais'!$D$12,AVES!$H$1:$DF$1,0))+1,0))</f>
        <v/>
      </c>
      <c r="J67" s="84"/>
      <c r="K67" s="84" t="s">
        <v>595</v>
      </c>
      <c r="L67" s="84" t="e">
        <f>IF(VLOOKUP('Gráficos Semanais'!$K67,' OVOS'!$G$1:$DF$311,(MATCH('Gráficos Semanais'!$D$12,' OVOS'!$H$1:$DF$1,0))+1,0)="","",VLOOKUP('Gráficos Semanais'!$K67,' OVOS'!$G$1:$DF$311,(MATCH('Gráficos Semanais'!$D$12,' OVOS'!$H$1:$DF$1,0))+1,0))</f>
        <v>#N/A</v>
      </c>
      <c r="M67" s="84" t="e" cm="1">
        <f t="array" ref="M67">_xlfn.IFS(L67="","",L67&lt;='Base de dados'!$K$2,'Base de dados'!$K$1,L67&lt;='Base de dados'!$L$3,'Base de dados'!$L$1,L67&lt;='Base de dados'!$M$3,'Base de dados'!$M$1,L67&gt;='Base de dados'!$N$2,'Base de dados'!$N$1)</f>
        <v>#N/A</v>
      </c>
      <c r="N67" s="84"/>
      <c r="O67" s="84"/>
    </row>
    <row r="68" spans="1:15" s="85" customFormat="1" x14ac:dyDescent="0.25">
      <c r="A68" s="47"/>
      <c r="B68" s="47"/>
      <c r="C68" s="47"/>
      <c r="D68" s="47"/>
      <c r="E68" s="47"/>
      <c r="F68" s="47"/>
      <c r="G68" s="47"/>
      <c r="H68" s="86" t="s">
        <v>73</v>
      </c>
      <c r="I68" s="86" t="str">
        <f>IF(VLOOKUP('Gráficos Semanais'!$H68,AVES!$G$1:$DF$311,(MATCH('Gráficos Semanais'!$D$12,AVES!$H$1:$DF$1,0))+1,0)="","",VLOOKUP('Gráficos Semanais'!$H68,AVES!$G$1:$DF$311,(MATCH('Gráficos Semanais'!$D$12,AVES!$H$1:$DF$1,0))+1,0))</f>
        <v/>
      </c>
      <c r="J68" s="84"/>
      <c r="K68" s="84" t="s">
        <v>596</v>
      </c>
      <c r="L68" s="84" t="e">
        <f>IF(VLOOKUP('Gráficos Semanais'!$K68,' OVOS'!$G$1:$DF$311,(MATCH('Gráficos Semanais'!$D$12,' OVOS'!$H$1:$DF$1,0))+1,0)="","",VLOOKUP('Gráficos Semanais'!$K68,' OVOS'!$G$1:$DF$311,(MATCH('Gráficos Semanais'!$D$12,' OVOS'!$H$1:$DF$1,0))+1,0))</f>
        <v>#N/A</v>
      </c>
      <c r="M68" s="84" t="e" cm="1">
        <f t="array" ref="M68">_xlfn.IFS(L68="","",L68&lt;='Base de dados'!$K$2,'Base de dados'!$K$1,L68&lt;='Base de dados'!$L$3,'Base de dados'!$L$1,L68&lt;='Base de dados'!$M$3,'Base de dados'!$M$1,L68&gt;='Base de dados'!$N$2,'Base de dados'!$N$1)</f>
        <v>#N/A</v>
      </c>
      <c r="N68" s="84"/>
      <c r="O68" s="84"/>
    </row>
    <row r="69" spans="1:15" s="85" customFormat="1" x14ac:dyDescent="0.25">
      <c r="A69" s="47"/>
      <c r="B69" s="47"/>
      <c r="C69" s="47"/>
      <c r="D69" s="47"/>
      <c r="E69" s="47"/>
      <c r="F69" s="47"/>
      <c r="G69" s="47"/>
      <c r="H69" s="86" t="s">
        <v>74</v>
      </c>
      <c r="I69" s="86" t="str">
        <f>IF(VLOOKUP('Gráficos Semanais'!$H69,AVES!$G$1:$DF$311,(MATCH('Gráficos Semanais'!$D$12,AVES!$H$1:$DF$1,0))+1,0)="","",VLOOKUP('Gráficos Semanais'!$H69,AVES!$G$1:$DF$311,(MATCH('Gráficos Semanais'!$D$12,AVES!$H$1:$DF$1,0))+1,0))</f>
        <v/>
      </c>
      <c r="J69" s="84"/>
      <c r="K69" s="84" t="s">
        <v>597</v>
      </c>
      <c r="L69" s="84" t="e">
        <f>IF(VLOOKUP('Gráficos Semanais'!$K69,' OVOS'!$G$1:$DF$311,(MATCH('Gráficos Semanais'!$D$12,' OVOS'!$H$1:$DF$1,0))+1,0)="","",VLOOKUP('Gráficos Semanais'!$K69,' OVOS'!$G$1:$DF$311,(MATCH('Gráficos Semanais'!$D$12,' OVOS'!$H$1:$DF$1,0))+1,0))</f>
        <v>#N/A</v>
      </c>
      <c r="M69" s="84" t="e" cm="1">
        <f t="array" ref="M69">_xlfn.IFS(L69="","",L69&lt;='Base de dados'!$K$2,'Base de dados'!$K$1,L69&lt;='Base de dados'!$L$3,'Base de dados'!$L$1,L69&lt;='Base de dados'!$M$3,'Base de dados'!$M$1,L69&gt;='Base de dados'!$N$2,'Base de dados'!$N$1)</f>
        <v>#N/A</v>
      </c>
      <c r="N69" s="84"/>
      <c r="O69" s="84"/>
    </row>
    <row r="70" spans="1:15" s="85" customFormat="1" x14ac:dyDescent="0.25">
      <c r="A70" s="47"/>
      <c r="B70" s="47"/>
      <c r="C70" s="47"/>
      <c r="D70" s="47"/>
      <c r="E70" s="47"/>
      <c r="F70" s="47"/>
      <c r="G70" s="47"/>
      <c r="H70" s="86" t="s">
        <v>75</v>
      </c>
      <c r="I70" s="86" t="str">
        <f>IF(VLOOKUP('Gráficos Semanais'!$H70,AVES!$G$1:$DF$311,(MATCH('Gráficos Semanais'!$D$12,AVES!$H$1:$DF$1,0))+1,0)="","",VLOOKUP('Gráficos Semanais'!$H70,AVES!$G$1:$DF$311,(MATCH('Gráficos Semanais'!$D$12,AVES!$H$1:$DF$1,0))+1,0))</f>
        <v/>
      </c>
      <c r="J70" s="84"/>
      <c r="K70" s="84" t="s">
        <v>598</v>
      </c>
      <c r="L70" s="84" t="e">
        <f>IF(VLOOKUP('Gráficos Semanais'!$K70,' OVOS'!$G$1:$DF$311,(MATCH('Gráficos Semanais'!$D$12,' OVOS'!$H$1:$DF$1,0))+1,0)="","",VLOOKUP('Gráficos Semanais'!$K70,' OVOS'!$G$1:$DF$311,(MATCH('Gráficos Semanais'!$D$12,' OVOS'!$H$1:$DF$1,0))+1,0))</f>
        <v>#N/A</v>
      </c>
      <c r="M70" s="84" t="e" cm="1">
        <f t="array" ref="M70">_xlfn.IFS(L70="","",L70&lt;='Base de dados'!$K$2,'Base de dados'!$K$1,L70&lt;='Base de dados'!$L$3,'Base de dados'!$L$1,L70&lt;='Base de dados'!$M$3,'Base de dados'!$M$1,L70&gt;='Base de dados'!$N$2,'Base de dados'!$N$1)</f>
        <v>#N/A</v>
      </c>
      <c r="N70" s="84"/>
      <c r="O70" s="84"/>
    </row>
    <row r="71" spans="1:15" s="85" customFormat="1" x14ac:dyDescent="0.25">
      <c r="A71" s="47"/>
      <c r="B71" s="47"/>
      <c r="C71" s="47"/>
      <c r="D71" s="47"/>
      <c r="E71" s="47"/>
      <c r="F71" s="47"/>
      <c r="G71" s="47"/>
      <c r="H71" s="86" t="s">
        <v>76</v>
      </c>
      <c r="I71" s="86" t="str">
        <f>IF(VLOOKUP('Gráficos Semanais'!$H71,AVES!$G$1:$DF$311,(MATCH('Gráficos Semanais'!$D$12,AVES!$H$1:$DF$1,0))+1,0)="","",VLOOKUP('Gráficos Semanais'!$H71,AVES!$G$1:$DF$311,(MATCH('Gráficos Semanais'!$D$12,AVES!$H$1:$DF$1,0))+1,0))</f>
        <v/>
      </c>
      <c r="J71" s="84"/>
      <c r="K71" s="84" t="s">
        <v>599</v>
      </c>
      <c r="L71" s="84" t="e">
        <f>IF(VLOOKUP('Gráficos Semanais'!$K71,' OVOS'!$G$1:$DF$311,(MATCH('Gráficos Semanais'!$D$12,' OVOS'!$H$1:$DF$1,0))+1,0)="","",VLOOKUP('Gráficos Semanais'!$K71,' OVOS'!$G$1:$DF$311,(MATCH('Gráficos Semanais'!$D$12,' OVOS'!$H$1:$DF$1,0))+1,0))</f>
        <v>#N/A</v>
      </c>
      <c r="M71" s="84" t="e" cm="1">
        <f t="array" ref="M71">_xlfn.IFS(L71="","",L71&lt;='Base de dados'!$K$2,'Base de dados'!$K$1,L71&lt;='Base de dados'!$L$3,'Base de dados'!$L$1,L71&lt;='Base de dados'!$M$3,'Base de dados'!$M$1,L71&gt;='Base de dados'!$N$2,'Base de dados'!$N$1)</f>
        <v>#N/A</v>
      </c>
      <c r="N71" s="84"/>
      <c r="O71" s="84"/>
    </row>
    <row r="72" spans="1:15" s="85" customFormat="1" x14ac:dyDescent="0.25">
      <c r="A72" s="47"/>
      <c r="B72" s="47"/>
      <c r="C72" s="47"/>
      <c r="D72" s="47"/>
      <c r="E72" s="47"/>
      <c r="F72" s="47"/>
      <c r="G72" s="47"/>
      <c r="H72" s="86" t="s">
        <v>77</v>
      </c>
      <c r="I72" s="86" t="str">
        <f>IF(VLOOKUP('Gráficos Semanais'!$H72,AVES!$G$1:$DF$311,(MATCH('Gráficos Semanais'!$D$12,AVES!$H$1:$DF$1,0))+1,0)="","",VLOOKUP('Gráficos Semanais'!$H72,AVES!$G$1:$DF$311,(MATCH('Gráficos Semanais'!$D$12,AVES!$H$1:$DF$1,0))+1,0))</f>
        <v/>
      </c>
      <c r="J72" s="84"/>
      <c r="K72" s="84" t="s">
        <v>600</v>
      </c>
      <c r="L72" s="84" t="e">
        <f>IF(VLOOKUP('Gráficos Semanais'!$K72,' OVOS'!$G$1:$DF$311,(MATCH('Gráficos Semanais'!$D$12,' OVOS'!$H$1:$DF$1,0))+1,0)="","",VLOOKUP('Gráficos Semanais'!$K72,' OVOS'!$G$1:$DF$311,(MATCH('Gráficos Semanais'!$D$12,' OVOS'!$H$1:$DF$1,0))+1,0))</f>
        <v>#N/A</v>
      </c>
      <c r="M72" s="84" t="e" cm="1">
        <f t="array" ref="M72">_xlfn.IFS(L72="","",L72&lt;='Base de dados'!$K$2,'Base de dados'!$K$1,L72&lt;='Base de dados'!$L$3,'Base de dados'!$L$1,L72&lt;='Base de dados'!$M$3,'Base de dados'!$M$1,L72&gt;='Base de dados'!$N$2,'Base de dados'!$N$1)</f>
        <v>#N/A</v>
      </c>
      <c r="N72" s="84"/>
      <c r="O72" s="84"/>
    </row>
    <row r="73" spans="1:15" s="85" customFormat="1" x14ac:dyDescent="0.25">
      <c r="A73" s="47"/>
      <c r="B73" s="47"/>
      <c r="C73" s="47"/>
      <c r="D73" s="47"/>
      <c r="E73" s="47"/>
      <c r="F73" s="47"/>
      <c r="G73" s="47"/>
      <c r="H73" s="86" t="s">
        <v>78</v>
      </c>
      <c r="I73" s="86" t="str">
        <f>IF(VLOOKUP('Gráficos Semanais'!$H73,AVES!$G$1:$DF$311,(MATCH('Gráficos Semanais'!$D$12,AVES!$H$1:$DF$1,0))+1,0)="","",VLOOKUP('Gráficos Semanais'!$H73,AVES!$G$1:$DF$311,(MATCH('Gráficos Semanais'!$D$12,AVES!$H$1:$DF$1,0))+1,0))</f>
        <v/>
      </c>
      <c r="J73" s="84"/>
      <c r="K73" s="84" t="s">
        <v>601</v>
      </c>
      <c r="L73" s="84" t="e">
        <f>IF(VLOOKUP('Gráficos Semanais'!$K73,' OVOS'!$G$1:$DF$311,(MATCH('Gráficos Semanais'!$D$12,' OVOS'!$H$1:$DF$1,0))+1,0)="","",VLOOKUP('Gráficos Semanais'!$K73,' OVOS'!$G$1:$DF$311,(MATCH('Gráficos Semanais'!$D$12,' OVOS'!$H$1:$DF$1,0))+1,0))</f>
        <v>#N/A</v>
      </c>
      <c r="M73" s="84" t="e" cm="1">
        <f t="array" ref="M73">_xlfn.IFS(L73="","",L73&lt;='Base de dados'!$K$2,'Base de dados'!$K$1,L73&lt;='Base de dados'!$L$3,'Base de dados'!$L$1,L73&lt;='Base de dados'!$M$3,'Base de dados'!$M$1,L73&gt;='Base de dados'!$N$2,'Base de dados'!$N$1)</f>
        <v>#N/A</v>
      </c>
      <c r="N73" s="84"/>
      <c r="O73" s="84"/>
    </row>
    <row r="74" spans="1:15" s="85" customFormat="1" x14ac:dyDescent="0.25">
      <c r="A74" s="47"/>
      <c r="B74" s="47"/>
      <c r="C74" s="47"/>
      <c r="D74" s="47"/>
      <c r="E74" s="47"/>
      <c r="F74" s="47"/>
      <c r="G74" s="47"/>
      <c r="H74" s="86" t="s">
        <v>79</v>
      </c>
      <c r="I74" s="86" t="str">
        <f>IF(VLOOKUP('Gráficos Semanais'!$H74,AVES!$G$1:$DF$311,(MATCH('Gráficos Semanais'!$D$12,AVES!$H$1:$DF$1,0))+1,0)="","",VLOOKUP('Gráficos Semanais'!$H74,AVES!$G$1:$DF$311,(MATCH('Gráficos Semanais'!$D$12,AVES!$H$1:$DF$1,0))+1,0))</f>
        <v/>
      </c>
      <c r="J74" s="84"/>
      <c r="K74" s="84" t="s">
        <v>602</v>
      </c>
      <c r="L74" s="84" t="e">
        <f>IF(VLOOKUP('Gráficos Semanais'!$K74,' OVOS'!$G$1:$DF$311,(MATCH('Gráficos Semanais'!$D$12,' OVOS'!$H$1:$DF$1,0))+1,0)="","",VLOOKUP('Gráficos Semanais'!$K74,' OVOS'!$G$1:$DF$311,(MATCH('Gráficos Semanais'!$D$12,' OVOS'!$H$1:$DF$1,0))+1,0))</f>
        <v>#N/A</v>
      </c>
      <c r="M74" s="84" t="e" cm="1">
        <f t="array" ref="M74">_xlfn.IFS(L74="","",L74&lt;='Base de dados'!$K$2,'Base de dados'!$K$1,L74&lt;='Base de dados'!$L$3,'Base de dados'!$L$1,L74&lt;='Base de dados'!$M$3,'Base de dados'!$M$1,L74&gt;='Base de dados'!$N$2,'Base de dados'!$N$1)</f>
        <v>#N/A</v>
      </c>
      <c r="N74" s="84"/>
      <c r="O74" s="84"/>
    </row>
    <row r="75" spans="1:15" s="85" customFormat="1" x14ac:dyDescent="0.25">
      <c r="A75" s="47"/>
      <c r="B75" s="47"/>
      <c r="C75" s="47"/>
      <c r="D75" s="47"/>
      <c r="E75" s="47"/>
      <c r="F75" s="47"/>
      <c r="G75" s="47"/>
      <c r="H75" s="86" t="s">
        <v>80</v>
      </c>
      <c r="I75" s="86" t="str">
        <f>IF(VLOOKUP('Gráficos Semanais'!$H75,AVES!$G$1:$DF$311,(MATCH('Gráficos Semanais'!$D$12,AVES!$H$1:$DF$1,0))+1,0)="","",VLOOKUP('Gráficos Semanais'!$H75,AVES!$G$1:$DF$311,(MATCH('Gráficos Semanais'!$D$12,AVES!$H$1:$DF$1,0))+1,0))</f>
        <v/>
      </c>
      <c r="J75" s="84"/>
      <c r="K75" s="84" t="s">
        <v>603</v>
      </c>
      <c r="L75" s="84" t="e">
        <f>IF(VLOOKUP('Gráficos Semanais'!$K75,' OVOS'!$G$1:$DF$311,(MATCH('Gráficos Semanais'!$D$12,' OVOS'!$H$1:$DF$1,0))+1,0)="","",VLOOKUP('Gráficos Semanais'!$K75,' OVOS'!$G$1:$DF$311,(MATCH('Gráficos Semanais'!$D$12,' OVOS'!$H$1:$DF$1,0))+1,0))</f>
        <v>#N/A</v>
      </c>
      <c r="M75" s="84" t="e" cm="1">
        <f t="array" ref="M75">_xlfn.IFS(L75="","",L75&lt;='Base de dados'!$K$2,'Base de dados'!$K$1,L75&lt;='Base de dados'!$L$3,'Base de dados'!$L$1,L75&lt;='Base de dados'!$M$3,'Base de dados'!$M$1,L75&gt;='Base de dados'!$N$2,'Base de dados'!$N$1)</f>
        <v>#N/A</v>
      </c>
      <c r="N75" s="84"/>
      <c r="O75" s="84"/>
    </row>
    <row r="76" spans="1:15" s="85" customFormat="1" x14ac:dyDescent="0.25">
      <c r="A76" s="47"/>
      <c r="B76" s="47"/>
      <c r="C76" s="47"/>
      <c r="D76" s="47"/>
      <c r="E76" s="47"/>
      <c r="F76" s="47"/>
      <c r="G76" s="47"/>
      <c r="H76" s="86" t="s">
        <v>81</v>
      </c>
      <c r="I76" s="86" t="str">
        <f>IF(VLOOKUP('Gráficos Semanais'!$H76,AVES!$G$1:$DF$311,(MATCH('Gráficos Semanais'!$D$12,AVES!$H$1:$DF$1,0))+1,0)="","",VLOOKUP('Gráficos Semanais'!$H76,AVES!$G$1:$DF$311,(MATCH('Gráficos Semanais'!$D$12,AVES!$H$1:$DF$1,0))+1,0))</f>
        <v/>
      </c>
      <c r="J76" s="84"/>
      <c r="K76" s="84" t="s">
        <v>604</v>
      </c>
      <c r="L76" s="84" t="e">
        <f>IF(VLOOKUP('Gráficos Semanais'!$K76,' OVOS'!$G$1:$DF$311,(MATCH('Gráficos Semanais'!$D$12,' OVOS'!$H$1:$DF$1,0))+1,0)="","",VLOOKUP('Gráficos Semanais'!$K76,' OVOS'!$G$1:$DF$311,(MATCH('Gráficos Semanais'!$D$12,' OVOS'!$H$1:$DF$1,0))+1,0))</f>
        <v>#N/A</v>
      </c>
      <c r="M76" s="84" t="e" cm="1">
        <f t="array" ref="M76">_xlfn.IFS(L76="","",L76&lt;='Base de dados'!$K$2,'Base de dados'!$K$1,L76&lt;='Base de dados'!$L$3,'Base de dados'!$L$1,L76&lt;='Base de dados'!$M$3,'Base de dados'!$M$1,L76&gt;='Base de dados'!$N$2,'Base de dados'!$N$1)</f>
        <v>#N/A</v>
      </c>
      <c r="N76" s="84"/>
      <c r="O76" s="84"/>
    </row>
    <row r="77" spans="1:15" s="85" customFormat="1" x14ac:dyDescent="0.25">
      <c r="A77" s="47"/>
      <c r="B77" s="47"/>
      <c r="C77" s="47"/>
      <c r="D77" s="47"/>
      <c r="E77" s="47"/>
      <c r="F77" s="47"/>
      <c r="G77" s="47"/>
      <c r="H77" s="86" t="s">
        <v>82</v>
      </c>
      <c r="I77" s="86" t="str">
        <f>IF(VLOOKUP('Gráficos Semanais'!$H77,AVES!$G$1:$DF$311,(MATCH('Gráficos Semanais'!$D$12,AVES!$H$1:$DF$1,0))+1,0)="","",VLOOKUP('Gráficos Semanais'!$H77,AVES!$G$1:$DF$311,(MATCH('Gráficos Semanais'!$D$12,AVES!$H$1:$DF$1,0))+1,0))</f>
        <v/>
      </c>
      <c r="J77" s="84"/>
      <c r="K77" s="84" t="s">
        <v>605</v>
      </c>
      <c r="L77" s="84" t="e">
        <f>IF(VLOOKUP('Gráficos Semanais'!$K77,' OVOS'!$G$1:$DF$311,(MATCH('Gráficos Semanais'!$D$12,' OVOS'!$H$1:$DF$1,0))+1,0)="","",VLOOKUP('Gráficos Semanais'!$K77,' OVOS'!$G$1:$DF$311,(MATCH('Gráficos Semanais'!$D$12,' OVOS'!$H$1:$DF$1,0))+1,0))</f>
        <v>#N/A</v>
      </c>
      <c r="M77" s="84" t="e" cm="1">
        <f t="array" ref="M77">_xlfn.IFS(L77="","",L77&lt;='Base de dados'!$K$2,'Base de dados'!$K$1,L77&lt;='Base de dados'!$L$3,'Base de dados'!$L$1,L77&lt;='Base de dados'!$M$3,'Base de dados'!$M$1,L77&gt;='Base de dados'!$N$2,'Base de dados'!$N$1)</f>
        <v>#N/A</v>
      </c>
      <c r="N77" s="84"/>
      <c r="O77" s="84"/>
    </row>
    <row r="78" spans="1:15" s="85" customFormat="1" x14ac:dyDescent="0.25">
      <c r="A78" s="47"/>
      <c r="B78" s="47"/>
      <c r="C78" s="47"/>
      <c r="D78" s="47"/>
      <c r="E78" s="47"/>
      <c r="F78" s="47"/>
      <c r="G78" s="47"/>
      <c r="H78" s="86" t="s">
        <v>83</v>
      </c>
      <c r="I78" s="86" t="str">
        <f>IF(VLOOKUP('Gráficos Semanais'!$H78,AVES!$G$1:$DF$311,(MATCH('Gráficos Semanais'!$D$12,AVES!$H$1:$DF$1,0))+1,0)="","",VLOOKUP('Gráficos Semanais'!$H78,AVES!$G$1:$DF$311,(MATCH('Gráficos Semanais'!$D$12,AVES!$H$1:$DF$1,0))+1,0))</f>
        <v/>
      </c>
      <c r="J78" s="84"/>
      <c r="K78" s="84" t="s">
        <v>606</v>
      </c>
      <c r="L78" s="84" t="e">
        <f>IF(VLOOKUP('Gráficos Semanais'!$K78,' OVOS'!$G$1:$DF$311,(MATCH('Gráficos Semanais'!$D$12,' OVOS'!$H$1:$DF$1,0))+1,0)="","",VLOOKUP('Gráficos Semanais'!$K78,' OVOS'!$G$1:$DF$311,(MATCH('Gráficos Semanais'!$D$12,' OVOS'!$H$1:$DF$1,0))+1,0))</f>
        <v>#N/A</v>
      </c>
      <c r="M78" s="84" t="e" cm="1">
        <f t="array" ref="M78">_xlfn.IFS(L78="","",L78&lt;='Base de dados'!$K$2,'Base de dados'!$K$1,L78&lt;='Base de dados'!$L$3,'Base de dados'!$L$1,L78&lt;='Base de dados'!$M$3,'Base de dados'!$M$1,L78&gt;='Base de dados'!$N$2,'Base de dados'!$N$1)</f>
        <v>#N/A</v>
      </c>
      <c r="N78" s="84"/>
      <c r="O78" s="84"/>
    </row>
    <row r="79" spans="1:15" s="85" customFormat="1" x14ac:dyDescent="0.25">
      <c r="A79" s="47"/>
      <c r="B79" s="47"/>
      <c r="C79" s="47"/>
      <c r="D79" s="47"/>
      <c r="E79" s="47"/>
      <c r="F79" s="47"/>
      <c r="G79" s="47"/>
      <c r="H79" s="86" t="s">
        <v>84</v>
      </c>
      <c r="I79" s="86" t="str">
        <f>IF(VLOOKUP('Gráficos Semanais'!$H79,AVES!$G$1:$DF$311,(MATCH('Gráficos Semanais'!$D$12,AVES!$H$1:$DF$1,0))+1,0)="","",VLOOKUP('Gráficos Semanais'!$H79,AVES!$G$1:$DF$311,(MATCH('Gráficos Semanais'!$D$12,AVES!$H$1:$DF$1,0))+1,0))</f>
        <v/>
      </c>
      <c r="J79" s="84"/>
      <c r="K79" s="84" t="s">
        <v>607</v>
      </c>
      <c r="L79" s="84" t="e">
        <f>IF(VLOOKUP('Gráficos Semanais'!$K79,' OVOS'!$G$1:$DF$311,(MATCH('Gráficos Semanais'!$D$12,' OVOS'!$H$1:$DF$1,0))+1,0)="","",VLOOKUP('Gráficos Semanais'!$K79,' OVOS'!$G$1:$DF$311,(MATCH('Gráficos Semanais'!$D$12,' OVOS'!$H$1:$DF$1,0))+1,0))</f>
        <v>#N/A</v>
      </c>
      <c r="M79" s="84" t="e" cm="1">
        <f t="array" ref="M79">_xlfn.IFS(L79="","",L79&lt;='Base de dados'!$K$2,'Base de dados'!$K$1,L79&lt;='Base de dados'!$L$3,'Base de dados'!$L$1,L79&lt;='Base de dados'!$M$3,'Base de dados'!$M$1,L79&gt;='Base de dados'!$N$2,'Base de dados'!$N$1)</f>
        <v>#N/A</v>
      </c>
      <c r="N79" s="84"/>
      <c r="O79" s="84"/>
    </row>
    <row r="80" spans="1:15" s="85" customFormat="1" x14ac:dyDescent="0.25">
      <c r="A80" s="47"/>
      <c r="B80" s="47"/>
      <c r="C80" s="47"/>
      <c r="D80" s="47"/>
      <c r="E80" s="47"/>
      <c r="F80" s="47"/>
      <c r="G80" s="47"/>
      <c r="H80" s="86" t="s">
        <v>85</v>
      </c>
      <c r="I80" s="86" t="str">
        <f>IF(VLOOKUP('Gráficos Semanais'!$H80,AVES!$G$1:$DF$311,(MATCH('Gráficos Semanais'!$D$12,AVES!$H$1:$DF$1,0))+1,0)="","",VLOOKUP('Gráficos Semanais'!$H80,AVES!$G$1:$DF$311,(MATCH('Gráficos Semanais'!$D$12,AVES!$H$1:$DF$1,0))+1,0))</f>
        <v/>
      </c>
      <c r="J80" s="84"/>
      <c r="K80" s="84" t="s">
        <v>608</v>
      </c>
      <c r="L80" s="84" t="e">
        <f>IF(VLOOKUP('Gráficos Semanais'!$K80,' OVOS'!$G$1:$DF$311,(MATCH('Gráficos Semanais'!$D$12,' OVOS'!$H$1:$DF$1,0))+1,0)="","",VLOOKUP('Gráficos Semanais'!$K80,' OVOS'!$G$1:$DF$311,(MATCH('Gráficos Semanais'!$D$12,' OVOS'!$H$1:$DF$1,0))+1,0))</f>
        <v>#N/A</v>
      </c>
      <c r="M80" s="84" t="e" cm="1">
        <f t="array" ref="M80">_xlfn.IFS(L80="","",L80&lt;='Base de dados'!$K$2,'Base de dados'!$K$1,L80&lt;='Base de dados'!$L$3,'Base de dados'!$L$1,L80&lt;='Base de dados'!$M$3,'Base de dados'!$M$1,L80&gt;='Base de dados'!$N$2,'Base de dados'!$N$1)</f>
        <v>#N/A</v>
      </c>
      <c r="N80" s="84"/>
      <c r="O80" s="84"/>
    </row>
    <row r="81" spans="1:15" s="85" customFormat="1" x14ac:dyDescent="0.25">
      <c r="A81" s="47"/>
      <c r="B81" s="47"/>
      <c r="C81" s="47"/>
      <c r="D81" s="47"/>
      <c r="E81" s="47"/>
      <c r="F81" s="47"/>
      <c r="G81" s="47"/>
      <c r="H81" s="86" t="s">
        <v>86</v>
      </c>
      <c r="I81" s="86" t="str">
        <f>IF(VLOOKUP('Gráficos Semanais'!$H81,AVES!$G$1:$DF$311,(MATCH('Gráficos Semanais'!$D$12,AVES!$H$1:$DF$1,0))+1,0)="","",VLOOKUP('Gráficos Semanais'!$H81,AVES!$G$1:$DF$311,(MATCH('Gráficos Semanais'!$D$12,AVES!$H$1:$DF$1,0))+1,0))</f>
        <v/>
      </c>
      <c r="J81" s="84"/>
      <c r="K81" s="84" t="s">
        <v>609</v>
      </c>
      <c r="L81" s="84" t="e">
        <f>IF(VLOOKUP('Gráficos Semanais'!$K81,' OVOS'!$G$1:$DF$311,(MATCH('Gráficos Semanais'!$D$12,' OVOS'!$H$1:$DF$1,0))+1,0)="","",VLOOKUP('Gráficos Semanais'!$K81,' OVOS'!$G$1:$DF$311,(MATCH('Gráficos Semanais'!$D$12,' OVOS'!$H$1:$DF$1,0))+1,0))</f>
        <v>#N/A</v>
      </c>
      <c r="M81" s="84" t="e" cm="1">
        <f t="array" ref="M81">_xlfn.IFS(L81="","",L81&lt;='Base de dados'!$K$2,'Base de dados'!$K$1,L81&lt;='Base de dados'!$L$3,'Base de dados'!$L$1,L81&lt;='Base de dados'!$M$3,'Base de dados'!$M$1,L81&gt;='Base de dados'!$N$2,'Base de dados'!$N$1)</f>
        <v>#N/A</v>
      </c>
      <c r="N81" s="84"/>
      <c r="O81" s="84"/>
    </row>
    <row r="82" spans="1:15" s="85" customFormat="1" x14ac:dyDescent="0.25">
      <c r="A82" s="47"/>
      <c r="B82" s="47"/>
      <c r="C82" s="47"/>
      <c r="D82" s="47"/>
      <c r="E82" s="47"/>
      <c r="F82" s="47"/>
      <c r="G82" s="47"/>
      <c r="H82" s="86" t="s">
        <v>87</v>
      </c>
      <c r="I82" s="86" t="str">
        <f>IF(VLOOKUP('Gráficos Semanais'!$H82,AVES!$G$1:$DF$311,(MATCH('Gráficos Semanais'!$D$12,AVES!$H$1:$DF$1,0))+1,0)="","",VLOOKUP('Gráficos Semanais'!$H82,AVES!$G$1:$DF$311,(MATCH('Gráficos Semanais'!$D$12,AVES!$H$1:$DF$1,0))+1,0))</f>
        <v/>
      </c>
      <c r="J82" s="84"/>
      <c r="K82" s="84" t="s">
        <v>610</v>
      </c>
      <c r="L82" s="84" t="e">
        <f>IF(VLOOKUP('Gráficos Semanais'!$K82,' OVOS'!$G$1:$DF$311,(MATCH('Gráficos Semanais'!$D$12,' OVOS'!$H$1:$DF$1,0))+1,0)="","",VLOOKUP('Gráficos Semanais'!$K82,' OVOS'!$G$1:$DF$311,(MATCH('Gráficos Semanais'!$D$12,' OVOS'!$H$1:$DF$1,0))+1,0))</f>
        <v>#N/A</v>
      </c>
      <c r="M82" s="84" t="e" cm="1">
        <f t="array" ref="M82">_xlfn.IFS(L82="","",L82&lt;='Base de dados'!$K$2,'Base de dados'!$K$1,L82&lt;='Base de dados'!$L$3,'Base de dados'!$L$1,L82&lt;='Base de dados'!$M$3,'Base de dados'!$M$1,L82&gt;='Base de dados'!$N$2,'Base de dados'!$N$1)</f>
        <v>#N/A</v>
      </c>
      <c r="N82" s="84"/>
      <c r="O82" s="84"/>
    </row>
    <row r="83" spans="1:15" s="85" customFormat="1" x14ac:dyDescent="0.25">
      <c r="A83" s="47"/>
      <c r="B83" s="47"/>
      <c r="C83" s="47"/>
      <c r="D83" s="47"/>
      <c r="E83" s="47"/>
      <c r="F83" s="47"/>
      <c r="G83" s="47"/>
      <c r="H83" s="86" t="s">
        <v>88</v>
      </c>
      <c r="I83" s="86" t="str">
        <f>IF(VLOOKUP('Gráficos Semanais'!$H83,AVES!$G$1:$DF$311,(MATCH('Gráficos Semanais'!$D$12,AVES!$H$1:$DF$1,0))+1,0)="","",VLOOKUP('Gráficos Semanais'!$H83,AVES!$G$1:$DF$311,(MATCH('Gráficos Semanais'!$D$12,AVES!$H$1:$DF$1,0))+1,0))</f>
        <v/>
      </c>
      <c r="J83" s="84"/>
      <c r="K83" s="84" t="s">
        <v>611</v>
      </c>
      <c r="L83" s="84" t="e">
        <f>IF(VLOOKUP('Gráficos Semanais'!$K83,' OVOS'!$G$1:$DF$311,(MATCH('Gráficos Semanais'!$D$12,' OVOS'!$H$1:$DF$1,0))+1,0)="","",VLOOKUP('Gráficos Semanais'!$K83,' OVOS'!$G$1:$DF$311,(MATCH('Gráficos Semanais'!$D$12,' OVOS'!$H$1:$DF$1,0))+1,0))</f>
        <v>#N/A</v>
      </c>
      <c r="M83" s="84" t="e" cm="1">
        <f t="array" ref="M83">_xlfn.IFS(L83="","",L83&lt;='Base de dados'!$K$2,'Base de dados'!$K$1,L83&lt;='Base de dados'!$L$3,'Base de dados'!$L$1,L83&lt;='Base de dados'!$M$3,'Base de dados'!$M$1,L83&gt;='Base de dados'!$N$2,'Base de dados'!$N$1)</f>
        <v>#N/A</v>
      </c>
      <c r="N83" s="84"/>
      <c r="O83" s="84"/>
    </row>
    <row r="84" spans="1:15" s="85" customFormat="1" x14ac:dyDescent="0.25">
      <c r="A84" s="47"/>
      <c r="B84" s="47"/>
      <c r="C84" s="47"/>
      <c r="D84" s="47"/>
      <c r="E84" s="47"/>
      <c r="F84" s="47"/>
      <c r="G84" s="47"/>
      <c r="H84" s="86" t="s">
        <v>89</v>
      </c>
      <c r="I84" s="86" t="str">
        <f>IF(VLOOKUP('Gráficos Semanais'!$H84,AVES!$G$1:$DF$311,(MATCH('Gráficos Semanais'!$D$12,AVES!$H$1:$DF$1,0))+1,0)="","",VLOOKUP('Gráficos Semanais'!$H84,AVES!$G$1:$DF$311,(MATCH('Gráficos Semanais'!$D$12,AVES!$H$1:$DF$1,0))+1,0))</f>
        <v/>
      </c>
      <c r="J84" s="84"/>
      <c r="K84" s="84" t="s">
        <v>612</v>
      </c>
      <c r="L84" s="84" t="e">
        <f>IF(VLOOKUP('Gráficos Semanais'!$K84,' OVOS'!$G$1:$DF$311,(MATCH('Gráficos Semanais'!$D$12,' OVOS'!$H$1:$DF$1,0))+1,0)="","",VLOOKUP('Gráficos Semanais'!$K84,' OVOS'!$G$1:$DF$311,(MATCH('Gráficos Semanais'!$D$12,' OVOS'!$H$1:$DF$1,0))+1,0))</f>
        <v>#N/A</v>
      </c>
      <c r="M84" s="84" t="e" cm="1">
        <f t="array" ref="M84">_xlfn.IFS(L84="","",L84&lt;='Base de dados'!$K$2,'Base de dados'!$K$1,L84&lt;='Base de dados'!$L$3,'Base de dados'!$L$1,L84&lt;='Base de dados'!$M$3,'Base de dados'!$M$1,L84&gt;='Base de dados'!$N$2,'Base de dados'!$N$1)</f>
        <v>#N/A</v>
      </c>
      <c r="N84" s="84"/>
      <c r="O84" s="84"/>
    </row>
    <row r="85" spans="1:15" s="85" customFormat="1" x14ac:dyDescent="0.25">
      <c r="A85" s="47"/>
      <c r="B85" s="47"/>
      <c r="C85" s="47"/>
      <c r="D85" s="47"/>
      <c r="E85" s="47"/>
      <c r="F85" s="47"/>
      <c r="G85" s="47"/>
      <c r="H85" s="86" t="s">
        <v>90</v>
      </c>
      <c r="I85" s="86" t="str">
        <f>IF(VLOOKUP('Gráficos Semanais'!$H85,AVES!$G$1:$DF$311,(MATCH('Gráficos Semanais'!$D$12,AVES!$H$1:$DF$1,0))+1,0)="","",VLOOKUP('Gráficos Semanais'!$H85,AVES!$G$1:$DF$311,(MATCH('Gráficos Semanais'!$D$12,AVES!$H$1:$DF$1,0))+1,0))</f>
        <v/>
      </c>
      <c r="J85" s="84"/>
      <c r="K85" s="84" t="s">
        <v>613</v>
      </c>
      <c r="L85" s="84" t="e">
        <f>IF(VLOOKUP('Gráficos Semanais'!$K85,' OVOS'!$G$1:$DF$311,(MATCH('Gráficos Semanais'!$D$12,' OVOS'!$H$1:$DF$1,0))+1,0)="","",VLOOKUP('Gráficos Semanais'!$K85,' OVOS'!$G$1:$DF$311,(MATCH('Gráficos Semanais'!$D$12,' OVOS'!$H$1:$DF$1,0))+1,0))</f>
        <v>#N/A</v>
      </c>
      <c r="M85" s="84" t="e" cm="1">
        <f t="array" ref="M85">_xlfn.IFS(L85="","",L85&lt;='Base de dados'!$K$2,'Base de dados'!$K$1,L85&lt;='Base de dados'!$L$3,'Base de dados'!$L$1,L85&lt;='Base de dados'!$M$3,'Base de dados'!$M$1,L85&gt;='Base de dados'!$N$2,'Base de dados'!$N$1)</f>
        <v>#N/A</v>
      </c>
      <c r="N85" s="84"/>
      <c r="O85" s="84"/>
    </row>
    <row r="86" spans="1:15" s="85" customFormat="1" x14ac:dyDescent="0.25">
      <c r="A86" s="47"/>
      <c r="B86" s="47"/>
      <c r="C86" s="47"/>
      <c r="D86" s="47"/>
      <c r="E86" s="47"/>
      <c r="F86" s="47"/>
      <c r="G86" s="47"/>
      <c r="H86" s="86" t="s">
        <v>91</v>
      </c>
      <c r="I86" s="86" t="str">
        <f>IF(VLOOKUP('Gráficos Semanais'!$H86,AVES!$G$1:$DF$311,(MATCH('Gráficos Semanais'!$D$12,AVES!$H$1:$DF$1,0))+1,0)="","",VLOOKUP('Gráficos Semanais'!$H86,AVES!$G$1:$DF$311,(MATCH('Gráficos Semanais'!$D$12,AVES!$H$1:$DF$1,0))+1,0))</f>
        <v/>
      </c>
      <c r="J86" s="84"/>
      <c r="K86" s="84" t="s">
        <v>614</v>
      </c>
      <c r="L86" s="84" t="e">
        <f>IF(VLOOKUP('Gráficos Semanais'!$K86,' OVOS'!$G$1:$DF$311,(MATCH('Gráficos Semanais'!$D$12,' OVOS'!$H$1:$DF$1,0))+1,0)="","",VLOOKUP('Gráficos Semanais'!$K86,' OVOS'!$G$1:$DF$311,(MATCH('Gráficos Semanais'!$D$12,' OVOS'!$H$1:$DF$1,0))+1,0))</f>
        <v>#N/A</v>
      </c>
      <c r="M86" s="84" t="e" cm="1">
        <f t="array" ref="M86">_xlfn.IFS(L86="","",L86&lt;='Base de dados'!$K$2,'Base de dados'!$K$1,L86&lt;='Base de dados'!$L$3,'Base de dados'!$L$1,L86&lt;='Base de dados'!$M$3,'Base de dados'!$M$1,L86&gt;='Base de dados'!$N$2,'Base de dados'!$N$1)</f>
        <v>#N/A</v>
      </c>
      <c r="N86" s="84"/>
      <c r="O86" s="84"/>
    </row>
    <row r="87" spans="1:15" s="85" customFormat="1" x14ac:dyDescent="0.25">
      <c r="A87" s="47"/>
      <c r="B87" s="47"/>
      <c r="C87" s="47"/>
      <c r="D87" s="47"/>
      <c r="E87" s="47"/>
      <c r="F87" s="47"/>
      <c r="G87" s="47"/>
      <c r="H87" s="86" t="s">
        <v>92</v>
      </c>
      <c r="I87" s="86" t="str">
        <f>IF(VLOOKUP('Gráficos Semanais'!$H87,AVES!$G$1:$DF$311,(MATCH('Gráficos Semanais'!$D$12,AVES!$H$1:$DF$1,0))+1,0)="","",VLOOKUP('Gráficos Semanais'!$H87,AVES!$G$1:$DF$311,(MATCH('Gráficos Semanais'!$D$12,AVES!$H$1:$DF$1,0))+1,0))</f>
        <v/>
      </c>
      <c r="J87" s="84"/>
      <c r="K87" s="84" t="s">
        <v>615</v>
      </c>
      <c r="L87" s="84" t="e">
        <f>IF(VLOOKUP('Gráficos Semanais'!$K87,' OVOS'!$G$1:$DF$311,(MATCH('Gráficos Semanais'!$D$12,' OVOS'!$H$1:$DF$1,0))+1,0)="","",VLOOKUP('Gráficos Semanais'!$K87,' OVOS'!$G$1:$DF$311,(MATCH('Gráficos Semanais'!$D$12,' OVOS'!$H$1:$DF$1,0))+1,0))</f>
        <v>#N/A</v>
      </c>
      <c r="M87" s="84" t="e" cm="1">
        <f t="array" ref="M87">_xlfn.IFS(L87="","",L87&lt;='Base de dados'!$K$2,'Base de dados'!$K$1,L87&lt;='Base de dados'!$L$3,'Base de dados'!$L$1,L87&lt;='Base de dados'!$M$3,'Base de dados'!$M$1,L87&gt;='Base de dados'!$N$2,'Base de dados'!$N$1)</f>
        <v>#N/A</v>
      </c>
      <c r="N87" s="84"/>
      <c r="O87" s="84"/>
    </row>
    <row r="88" spans="1:15" s="85" customFormat="1" x14ac:dyDescent="0.25">
      <c r="A88" s="47"/>
      <c r="B88" s="47"/>
      <c r="C88" s="47"/>
      <c r="D88" s="47"/>
      <c r="E88" s="47"/>
      <c r="F88" s="47"/>
      <c r="G88" s="47"/>
      <c r="H88" s="86" t="s">
        <v>93</v>
      </c>
      <c r="I88" s="86" t="str">
        <f>IF(VLOOKUP('Gráficos Semanais'!$H88,AVES!$G$1:$DF$311,(MATCH('Gráficos Semanais'!$D$12,AVES!$H$1:$DF$1,0))+1,0)="","",VLOOKUP('Gráficos Semanais'!$H88,AVES!$G$1:$DF$311,(MATCH('Gráficos Semanais'!$D$12,AVES!$H$1:$DF$1,0))+1,0))</f>
        <v/>
      </c>
      <c r="J88" s="84"/>
      <c r="K88" s="84" t="s">
        <v>616</v>
      </c>
      <c r="L88" s="84" t="e">
        <f>IF(VLOOKUP('Gráficos Semanais'!$K88,' OVOS'!$G$1:$DF$311,(MATCH('Gráficos Semanais'!$D$12,' OVOS'!$H$1:$DF$1,0))+1,0)="","",VLOOKUP('Gráficos Semanais'!$K88,' OVOS'!$G$1:$DF$311,(MATCH('Gráficos Semanais'!$D$12,' OVOS'!$H$1:$DF$1,0))+1,0))</f>
        <v>#N/A</v>
      </c>
      <c r="M88" s="84" t="e" cm="1">
        <f t="array" ref="M88">_xlfn.IFS(L88="","",L88&lt;='Base de dados'!$K$2,'Base de dados'!$K$1,L88&lt;='Base de dados'!$L$3,'Base de dados'!$L$1,L88&lt;='Base de dados'!$M$3,'Base de dados'!$M$1,L88&gt;='Base de dados'!$N$2,'Base de dados'!$N$1)</f>
        <v>#N/A</v>
      </c>
      <c r="N88" s="84"/>
      <c r="O88" s="84"/>
    </row>
    <row r="89" spans="1:15" s="85" customFormat="1" x14ac:dyDescent="0.25">
      <c r="A89" s="47"/>
      <c r="B89" s="47"/>
      <c r="C89" s="47"/>
      <c r="D89" s="47"/>
      <c r="E89" s="47"/>
      <c r="F89" s="47"/>
      <c r="G89" s="47"/>
      <c r="H89" s="86" t="s">
        <v>94</v>
      </c>
      <c r="I89" s="86" t="str">
        <f>IF(VLOOKUP('Gráficos Semanais'!$H89,AVES!$G$1:$DF$311,(MATCH('Gráficos Semanais'!$D$12,AVES!$H$1:$DF$1,0))+1,0)="","",VLOOKUP('Gráficos Semanais'!$H89,AVES!$G$1:$DF$311,(MATCH('Gráficos Semanais'!$D$12,AVES!$H$1:$DF$1,0))+1,0))</f>
        <v/>
      </c>
      <c r="J89" s="84"/>
      <c r="K89" s="84" t="s">
        <v>617</v>
      </c>
      <c r="L89" s="84" t="e">
        <f>IF(VLOOKUP('Gráficos Semanais'!$K89,' OVOS'!$G$1:$DF$311,(MATCH('Gráficos Semanais'!$D$12,' OVOS'!$H$1:$DF$1,0))+1,0)="","",VLOOKUP('Gráficos Semanais'!$K89,' OVOS'!$G$1:$DF$311,(MATCH('Gráficos Semanais'!$D$12,' OVOS'!$H$1:$DF$1,0))+1,0))</f>
        <v>#N/A</v>
      </c>
      <c r="M89" s="84" t="e" cm="1">
        <f t="array" ref="M89">_xlfn.IFS(L89="","",L89&lt;='Base de dados'!$K$2,'Base de dados'!$K$1,L89&lt;='Base de dados'!$L$3,'Base de dados'!$L$1,L89&lt;='Base de dados'!$M$3,'Base de dados'!$M$1,L89&gt;='Base de dados'!$N$2,'Base de dados'!$N$1)</f>
        <v>#N/A</v>
      </c>
      <c r="N89" s="84"/>
      <c r="O89" s="84"/>
    </row>
    <row r="90" spans="1:15" s="85" customFormat="1" x14ac:dyDescent="0.25">
      <c r="A90" s="47"/>
      <c r="B90" s="47"/>
      <c r="C90" s="47"/>
      <c r="D90" s="47"/>
      <c r="E90" s="47"/>
      <c r="F90" s="47"/>
      <c r="G90" s="47"/>
      <c r="H90" s="86" t="s">
        <v>95</v>
      </c>
      <c r="I90" s="86" t="str">
        <f>IF(VLOOKUP('Gráficos Semanais'!$H90,AVES!$G$1:$DF$311,(MATCH('Gráficos Semanais'!$D$12,AVES!$H$1:$DF$1,0))+1,0)="","",VLOOKUP('Gráficos Semanais'!$H90,AVES!$G$1:$DF$311,(MATCH('Gráficos Semanais'!$D$12,AVES!$H$1:$DF$1,0))+1,0))</f>
        <v/>
      </c>
      <c r="J90" s="84"/>
      <c r="K90" s="84" t="s">
        <v>618</v>
      </c>
      <c r="L90" s="84" t="e">
        <f>IF(VLOOKUP('Gráficos Semanais'!$K90,' OVOS'!$G$1:$DF$311,(MATCH('Gráficos Semanais'!$D$12,' OVOS'!$H$1:$DF$1,0))+1,0)="","",VLOOKUP('Gráficos Semanais'!$K90,' OVOS'!$G$1:$DF$311,(MATCH('Gráficos Semanais'!$D$12,' OVOS'!$H$1:$DF$1,0))+1,0))</f>
        <v>#N/A</v>
      </c>
      <c r="M90" s="84" t="e" cm="1">
        <f t="array" ref="M90">_xlfn.IFS(L90="","",L90&lt;='Base de dados'!$K$2,'Base de dados'!$K$1,L90&lt;='Base de dados'!$L$3,'Base de dados'!$L$1,L90&lt;='Base de dados'!$M$3,'Base de dados'!$M$1,L90&gt;='Base de dados'!$N$2,'Base de dados'!$N$1)</f>
        <v>#N/A</v>
      </c>
      <c r="N90" s="84"/>
      <c r="O90" s="84"/>
    </row>
    <row r="91" spans="1:15" s="85" customFormat="1" x14ac:dyDescent="0.25">
      <c r="A91" s="47"/>
      <c r="B91" s="47"/>
      <c r="C91" s="47"/>
      <c r="D91" s="47"/>
      <c r="E91" s="47"/>
      <c r="F91" s="47"/>
      <c r="G91" s="47"/>
      <c r="H91" s="86" t="s">
        <v>96</v>
      </c>
      <c r="I91" s="86" t="str">
        <f>IF(VLOOKUP('Gráficos Semanais'!$H91,AVES!$G$1:$DF$311,(MATCH('Gráficos Semanais'!$D$12,AVES!$H$1:$DF$1,0))+1,0)="","",VLOOKUP('Gráficos Semanais'!$H91,AVES!$G$1:$DF$311,(MATCH('Gráficos Semanais'!$D$12,AVES!$H$1:$DF$1,0))+1,0))</f>
        <v/>
      </c>
      <c r="J91" s="84"/>
      <c r="K91" s="84" t="s">
        <v>619</v>
      </c>
      <c r="L91" s="84" t="e">
        <f>IF(VLOOKUP('Gráficos Semanais'!$K91,' OVOS'!$G$1:$DF$311,(MATCH('Gráficos Semanais'!$D$12,' OVOS'!$H$1:$DF$1,0))+1,0)="","",VLOOKUP('Gráficos Semanais'!$K91,' OVOS'!$G$1:$DF$311,(MATCH('Gráficos Semanais'!$D$12,' OVOS'!$H$1:$DF$1,0))+1,0))</f>
        <v>#N/A</v>
      </c>
      <c r="M91" s="84" t="e" cm="1">
        <f t="array" ref="M91">_xlfn.IFS(L91="","",L91&lt;='Base de dados'!$K$2,'Base de dados'!$K$1,L91&lt;='Base de dados'!$L$3,'Base de dados'!$L$1,L91&lt;='Base de dados'!$M$3,'Base de dados'!$M$1,L91&gt;='Base de dados'!$N$2,'Base de dados'!$N$1)</f>
        <v>#N/A</v>
      </c>
      <c r="N91" s="84"/>
      <c r="O91" s="84"/>
    </row>
    <row r="92" spans="1:15" s="85" customFormat="1" x14ac:dyDescent="0.25">
      <c r="A92" s="47"/>
      <c r="B92" s="47"/>
      <c r="C92" s="47"/>
      <c r="D92" s="47"/>
      <c r="E92" s="47"/>
      <c r="F92" s="47"/>
      <c r="G92" s="47"/>
      <c r="H92" s="86" t="s">
        <v>97</v>
      </c>
      <c r="I92" s="86" t="str">
        <f>IF(VLOOKUP('Gráficos Semanais'!$H92,AVES!$G$1:$DF$311,(MATCH('Gráficos Semanais'!$D$12,AVES!$H$1:$DF$1,0))+1,0)="","",VLOOKUP('Gráficos Semanais'!$H92,AVES!$G$1:$DF$311,(MATCH('Gráficos Semanais'!$D$12,AVES!$H$1:$DF$1,0))+1,0))</f>
        <v/>
      </c>
      <c r="J92" s="84"/>
      <c r="K92" s="84" t="s">
        <v>620</v>
      </c>
      <c r="L92" s="84" t="e">
        <f>IF(VLOOKUP('Gráficos Semanais'!$K92,' OVOS'!$G$1:$DF$311,(MATCH('Gráficos Semanais'!$D$12,' OVOS'!$H$1:$DF$1,0))+1,0)="","",VLOOKUP('Gráficos Semanais'!$K92,' OVOS'!$G$1:$DF$311,(MATCH('Gráficos Semanais'!$D$12,' OVOS'!$H$1:$DF$1,0))+1,0))</f>
        <v>#N/A</v>
      </c>
      <c r="M92" s="84" t="e" cm="1">
        <f t="array" ref="M92">_xlfn.IFS(L92="","",L92&lt;='Base de dados'!$K$2,'Base de dados'!$K$1,L92&lt;='Base de dados'!$L$3,'Base de dados'!$L$1,L92&lt;='Base de dados'!$M$3,'Base de dados'!$M$1,L92&gt;='Base de dados'!$N$2,'Base de dados'!$N$1)</f>
        <v>#N/A</v>
      </c>
      <c r="N92" s="84"/>
      <c r="O92" s="84"/>
    </row>
    <row r="93" spans="1:15" s="85" customFormat="1" x14ac:dyDescent="0.25">
      <c r="A93" s="47"/>
      <c r="B93" s="47"/>
      <c r="C93" s="47"/>
      <c r="D93" s="47"/>
      <c r="E93" s="47"/>
      <c r="F93" s="47"/>
      <c r="G93" s="47"/>
      <c r="H93" s="86" t="s">
        <v>98</v>
      </c>
      <c r="I93" s="86" t="str">
        <f>IF(VLOOKUP('Gráficos Semanais'!$H93,AVES!$G$1:$DF$311,(MATCH('Gráficos Semanais'!$D$12,AVES!$H$1:$DF$1,0))+1,0)="","",VLOOKUP('Gráficos Semanais'!$H93,AVES!$G$1:$DF$311,(MATCH('Gráficos Semanais'!$D$12,AVES!$H$1:$DF$1,0))+1,0))</f>
        <v/>
      </c>
      <c r="J93" s="84"/>
      <c r="K93" s="84" t="s">
        <v>621</v>
      </c>
      <c r="L93" s="84" t="e">
        <f>IF(VLOOKUP('Gráficos Semanais'!$K93,' OVOS'!$G$1:$DF$311,(MATCH('Gráficos Semanais'!$D$12,' OVOS'!$H$1:$DF$1,0))+1,0)="","",VLOOKUP('Gráficos Semanais'!$K93,' OVOS'!$G$1:$DF$311,(MATCH('Gráficos Semanais'!$D$12,' OVOS'!$H$1:$DF$1,0))+1,0))</f>
        <v>#N/A</v>
      </c>
      <c r="M93" s="84" t="e" cm="1">
        <f t="array" ref="M93">_xlfn.IFS(L93="","",L93&lt;='Base de dados'!$K$2,'Base de dados'!$K$1,L93&lt;='Base de dados'!$L$3,'Base de dados'!$L$1,L93&lt;='Base de dados'!$M$3,'Base de dados'!$M$1,L93&gt;='Base de dados'!$N$2,'Base de dados'!$N$1)</f>
        <v>#N/A</v>
      </c>
      <c r="N93" s="84"/>
      <c r="O93" s="84"/>
    </row>
    <row r="94" spans="1:15" s="85" customFormat="1" x14ac:dyDescent="0.25">
      <c r="A94" s="47"/>
      <c r="B94" s="47"/>
      <c r="C94" s="47"/>
      <c r="D94" s="47"/>
      <c r="E94" s="47"/>
      <c r="F94" s="47"/>
      <c r="G94" s="47"/>
      <c r="H94" s="86" t="s">
        <v>99</v>
      </c>
      <c r="I94" s="86" t="str">
        <f>IF(VLOOKUP('Gráficos Semanais'!$H94,AVES!$G$1:$DF$311,(MATCH('Gráficos Semanais'!$D$12,AVES!$H$1:$DF$1,0))+1,0)="","",VLOOKUP('Gráficos Semanais'!$H94,AVES!$G$1:$DF$311,(MATCH('Gráficos Semanais'!$D$12,AVES!$H$1:$DF$1,0))+1,0))</f>
        <v/>
      </c>
      <c r="J94" s="84"/>
      <c r="K94" s="84" t="s">
        <v>622</v>
      </c>
      <c r="L94" s="84" t="e">
        <f>IF(VLOOKUP('Gráficos Semanais'!$K94,' OVOS'!$G$1:$DF$311,(MATCH('Gráficos Semanais'!$D$12,' OVOS'!$H$1:$DF$1,0))+1,0)="","",VLOOKUP('Gráficos Semanais'!$K94,' OVOS'!$G$1:$DF$311,(MATCH('Gráficos Semanais'!$D$12,' OVOS'!$H$1:$DF$1,0))+1,0))</f>
        <v>#N/A</v>
      </c>
      <c r="M94" s="84" t="e" cm="1">
        <f t="array" ref="M94">_xlfn.IFS(L94="","",L94&lt;='Base de dados'!$K$2,'Base de dados'!$K$1,L94&lt;='Base de dados'!$L$3,'Base de dados'!$L$1,L94&lt;='Base de dados'!$M$3,'Base de dados'!$M$1,L94&gt;='Base de dados'!$N$2,'Base de dados'!$N$1)</f>
        <v>#N/A</v>
      </c>
      <c r="N94" s="84"/>
      <c r="O94" s="84"/>
    </row>
    <row r="95" spans="1:15" s="85" customFormat="1" x14ac:dyDescent="0.25">
      <c r="A95" s="47"/>
      <c r="B95" s="47"/>
      <c r="C95" s="47"/>
      <c r="D95" s="47"/>
      <c r="E95" s="47"/>
      <c r="F95" s="47"/>
      <c r="G95" s="47"/>
      <c r="H95" s="86" t="s">
        <v>100</v>
      </c>
      <c r="I95" s="86" t="str">
        <f>IF(VLOOKUP('Gráficos Semanais'!$H95,AVES!$G$1:$DF$311,(MATCH('Gráficos Semanais'!$D$12,AVES!$H$1:$DF$1,0))+1,0)="","",VLOOKUP('Gráficos Semanais'!$H95,AVES!$G$1:$DF$311,(MATCH('Gráficos Semanais'!$D$12,AVES!$H$1:$DF$1,0))+1,0))</f>
        <v/>
      </c>
      <c r="J95" s="84"/>
      <c r="K95" s="84" t="s">
        <v>623</v>
      </c>
      <c r="L95" s="84" t="e">
        <f>IF(VLOOKUP('Gráficos Semanais'!$K95,' OVOS'!$G$1:$DF$311,(MATCH('Gráficos Semanais'!$D$12,' OVOS'!$H$1:$DF$1,0))+1,0)="","",VLOOKUP('Gráficos Semanais'!$K95,' OVOS'!$G$1:$DF$311,(MATCH('Gráficos Semanais'!$D$12,' OVOS'!$H$1:$DF$1,0))+1,0))</f>
        <v>#N/A</v>
      </c>
      <c r="M95" s="84" t="e" cm="1">
        <f t="array" ref="M95">_xlfn.IFS(L95="","",L95&lt;='Base de dados'!$K$2,'Base de dados'!$K$1,L95&lt;='Base de dados'!$L$3,'Base de dados'!$L$1,L95&lt;='Base de dados'!$M$3,'Base de dados'!$M$1,L95&gt;='Base de dados'!$N$2,'Base de dados'!$N$1)</f>
        <v>#N/A</v>
      </c>
      <c r="N95" s="84"/>
      <c r="O95" s="84"/>
    </row>
    <row r="96" spans="1:15" s="85" customFormat="1" x14ac:dyDescent="0.25">
      <c r="A96" s="47"/>
      <c r="B96" s="47"/>
      <c r="C96" s="47"/>
      <c r="D96" s="47"/>
      <c r="E96" s="47"/>
      <c r="F96" s="47"/>
      <c r="G96" s="47"/>
      <c r="H96" s="86" t="s">
        <v>101</v>
      </c>
      <c r="I96" s="86" t="str">
        <f>IF(VLOOKUP('Gráficos Semanais'!$H96,AVES!$G$1:$DF$311,(MATCH('Gráficos Semanais'!$D$12,AVES!$H$1:$DF$1,0))+1,0)="","",VLOOKUP('Gráficos Semanais'!$H96,AVES!$G$1:$DF$311,(MATCH('Gráficos Semanais'!$D$12,AVES!$H$1:$DF$1,0))+1,0))</f>
        <v/>
      </c>
      <c r="J96" s="84"/>
      <c r="K96" s="84" t="s">
        <v>624</v>
      </c>
      <c r="L96" s="84" t="e">
        <f>IF(VLOOKUP('Gráficos Semanais'!$K96,' OVOS'!$G$1:$DF$311,(MATCH('Gráficos Semanais'!$D$12,' OVOS'!$H$1:$DF$1,0))+1,0)="","",VLOOKUP('Gráficos Semanais'!$K96,' OVOS'!$G$1:$DF$311,(MATCH('Gráficos Semanais'!$D$12,' OVOS'!$H$1:$DF$1,0))+1,0))</f>
        <v>#N/A</v>
      </c>
      <c r="M96" s="84" t="e" cm="1">
        <f t="array" ref="M96">_xlfn.IFS(L96="","",L96&lt;='Base de dados'!$K$2,'Base de dados'!$K$1,L96&lt;='Base de dados'!$L$3,'Base de dados'!$L$1,L96&lt;='Base de dados'!$M$3,'Base de dados'!$M$1,L96&gt;='Base de dados'!$N$2,'Base de dados'!$N$1)</f>
        <v>#N/A</v>
      </c>
      <c r="N96" s="84"/>
      <c r="O96" s="84"/>
    </row>
    <row r="97" spans="1:15" s="85" customFormat="1" x14ac:dyDescent="0.25">
      <c r="A97" s="47"/>
      <c r="B97" s="47"/>
      <c r="C97" s="47"/>
      <c r="D97" s="47"/>
      <c r="E97" s="47"/>
      <c r="F97" s="47"/>
      <c r="G97" s="47"/>
      <c r="H97" s="86" t="s">
        <v>102</v>
      </c>
      <c r="I97" s="86" t="str">
        <f>IF(VLOOKUP('Gráficos Semanais'!$H97,AVES!$G$1:$DF$311,(MATCH('Gráficos Semanais'!$D$12,AVES!$H$1:$DF$1,0))+1,0)="","",VLOOKUP('Gráficos Semanais'!$H97,AVES!$G$1:$DF$311,(MATCH('Gráficos Semanais'!$D$12,AVES!$H$1:$DF$1,0))+1,0))</f>
        <v/>
      </c>
      <c r="J97" s="84"/>
      <c r="K97" s="84" t="s">
        <v>625</v>
      </c>
      <c r="L97" s="84" t="e">
        <f>IF(VLOOKUP('Gráficos Semanais'!$K97,' OVOS'!$G$1:$DF$311,(MATCH('Gráficos Semanais'!$D$12,' OVOS'!$H$1:$DF$1,0))+1,0)="","",VLOOKUP('Gráficos Semanais'!$K97,' OVOS'!$G$1:$DF$311,(MATCH('Gráficos Semanais'!$D$12,' OVOS'!$H$1:$DF$1,0))+1,0))</f>
        <v>#N/A</v>
      </c>
      <c r="M97" s="84" t="e" cm="1">
        <f t="array" ref="M97">_xlfn.IFS(L97="","",L97&lt;='Base de dados'!$K$2,'Base de dados'!$K$1,L97&lt;='Base de dados'!$L$3,'Base de dados'!$L$1,L97&lt;='Base de dados'!$M$3,'Base de dados'!$M$1,L97&gt;='Base de dados'!$N$2,'Base de dados'!$N$1)</f>
        <v>#N/A</v>
      </c>
      <c r="N97" s="84"/>
      <c r="O97" s="84"/>
    </row>
    <row r="98" spans="1:15" s="85" customFormat="1" x14ac:dyDescent="0.25">
      <c r="A98" s="47"/>
      <c r="B98" s="47"/>
      <c r="C98" s="47"/>
      <c r="D98" s="47"/>
      <c r="E98" s="47"/>
      <c r="F98" s="47"/>
      <c r="G98" s="47"/>
      <c r="H98" s="86" t="s">
        <v>103</v>
      </c>
      <c r="I98" s="86" t="str">
        <f>IF(VLOOKUP('Gráficos Semanais'!$H98,AVES!$G$1:$DF$311,(MATCH('Gráficos Semanais'!$D$12,AVES!$H$1:$DF$1,0))+1,0)="","",VLOOKUP('Gráficos Semanais'!$H98,AVES!$G$1:$DF$311,(MATCH('Gráficos Semanais'!$D$12,AVES!$H$1:$DF$1,0))+1,0))</f>
        <v/>
      </c>
      <c r="J98" s="84"/>
      <c r="K98" s="84" t="s">
        <v>626</v>
      </c>
      <c r="L98" s="84" t="e">
        <f>IF(VLOOKUP('Gráficos Semanais'!$K98,' OVOS'!$G$1:$DF$311,(MATCH('Gráficos Semanais'!$D$12,' OVOS'!$H$1:$DF$1,0))+1,0)="","",VLOOKUP('Gráficos Semanais'!$K98,' OVOS'!$G$1:$DF$311,(MATCH('Gráficos Semanais'!$D$12,' OVOS'!$H$1:$DF$1,0))+1,0))</f>
        <v>#N/A</v>
      </c>
      <c r="M98" s="84" t="e" cm="1">
        <f t="array" ref="M98">_xlfn.IFS(L98="","",L98&lt;='Base de dados'!$K$2,'Base de dados'!$K$1,L98&lt;='Base de dados'!$L$3,'Base de dados'!$L$1,L98&lt;='Base de dados'!$M$3,'Base de dados'!$M$1,L98&gt;='Base de dados'!$N$2,'Base de dados'!$N$1)</f>
        <v>#N/A</v>
      </c>
      <c r="N98" s="84"/>
      <c r="O98" s="84"/>
    </row>
    <row r="99" spans="1:15" s="85" customFormat="1" x14ac:dyDescent="0.25">
      <c r="A99" s="47"/>
      <c r="B99" s="47"/>
      <c r="C99" s="47"/>
      <c r="D99" s="47"/>
      <c r="E99" s="47"/>
      <c r="F99" s="47"/>
      <c r="G99" s="47"/>
      <c r="H99" s="86" t="s">
        <v>104</v>
      </c>
      <c r="I99" s="86" t="str">
        <f>IF(VLOOKUP('Gráficos Semanais'!$H99,AVES!$G$1:$DF$311,(MATCH('Gráficos Semanais'!$D$12,AVES!$H$1:$DF$1,0))+1,0)="","",VLOOKUP('Gráficos Semanais'!$H99,AVES!$G$1:$DF$311,(MATCH('Gráficos Semanais'!$D$12,AVES!$H$1:$DF$1,0))+1,0))</f>
        <v/>
      </c>
      <c r="J99" s="84"/>
      <c r="K99" s="84" t="s">
        <v>627</v>
      </c>
      <c r="L99" s="84" t="e">
        <f>IF(VLOOKUP('Gráficos Semanais'!$K99,' OVOS'!$G$1:$DF$311,(MATCH('Gráficos Semanais'!$D$12,' OVOS'!$H$1:$DF$1,0))+1,0)="","",VLOOKUP('Gráficos Semanais'!$K99,' OVOS'!$G$1:$DF$311,(MATCH('Gráficos Semanais'!$D$12,' OVOS'!$H$1:$DF$1,0))+1,0))</f>
        <v>#N/A</v>
      </c>
      <c r="M99" s="84" t="e" cm="1">
        <f t="array" ref="M99">_xlfn.IFS(L99="","",L99&lt;='Base de dados'!$K$2,'Base de dados'!$K$1,L99&lt;='Base de dados'!$L$3,'Base de dados'!$L$1,L99&lt;='Base de dados'!$M$3,'Base de dados'!$M$1,L99&gt;='Base de dados'!$N$2,'Base de dados'!$N$1)</f>
        <v>#N/A</v>
      </c>
      <c r="N99" s="84"/>
      <c r="O99" s="84"/>
    </row>
    <row r="100" spans="1:15" s="85" customFormat="1" x14ac:dyDescent="0.25">
      <c r="A100" s="47"/>
      <c r="B100" s="47"/>
      <c r="C100" s="47"/>
      <c r="D100" s="47"/>
      <c r="E100" s="47"/>
      <c r="F100" s="47"/>
      <c r="G100" s="47"/>
      <c r="H100" s="86" t="s">
        <v>105</v>
      </c>
      <c r="I100" s="86" t="str">
        <f>IF(VLOOKUP('Gráficos Semanais'!$H100,AVES!$G$1:$DF$311,(MATCH('Gráficos Semanais'!$D$12,AVES!$H$1:$DF$1,0))+1,0)="","",VLOOKUP('Gráficos Semanais'!$H100,AVES!$G$1:$DF$311,(MATCH('Gráficos Semanais'!$D$12,AVES!$H$1:$DF$1,0))+1,0))</f>
        <v/>
      </c>
      <c r="J100" s="84"/>
      <c r="K100" s="84" t="s">
        <v>628</v>
      </c>
      <c r="L100" s="84" t="e">
        <f>IF(VLOOKUP('Gráficos Semanais'!$K100,' OVOS'!$G$1:$DF$311,(MATCH('Gráficos Semanais'!$D$12,' OVOS'!$H$1:$DF$1,0))+1,0)="","",VLOOKUP('Gráficos Semanais'!$K100,' OVOS'!$G$1:$DF$311,(MATCH('Gráficos Semanais'!$D$12,' OVOS'!$H$1:$DF$1,0))+1,0))</f>
        <v>#N/A</v>
      </c>
      <c r="M100" s="84" t="e" cm="1">
        <f t="array" ref="M100">_xlfn.IFS(L100="","",L100&lt;='Base de dados'!$K$2,'Base de dados'!$K$1,L100&lt;='Base de dados'!$L$3,'Base de dados'!$L$1,L100&lt;='Base de dados'!$M$3,'Base de dados'!$M$1,L100&gt;='Base de dados'!$N$2,'Base de dados'!$N$1)</f>
        <v>#N/A</v>
      </c>
      <c r="N100" s="84"/>
      <c r="O100" s="84"/>
    </row>
    <row r="101" spans="1:15" s="85" customFormat="1" x14ac:dyDescent="0.25">
      <c r="A101" s="47"/>
      <c r="B101" s="47"/>
      <c r="C101" s="47"/>
      <c r="D101" s="47"/>
      <c r="E101" s="47"/>
      <c r="F101" s="47"/>
      <c r="G101" s="47"/>
      <c r="H101" s="86" t="s">
        <v>106</v>
      </c>
      <c r="I101" s="86" t="str">
        <f>IF(VLOOKUP('Gráficos Semanais'!$H101,AVES!$G$1:$DF$311,(MATCH('Gráficos Semanais'!$D$12,AVES!$H$1:$DF$1,0))+1,0)="","",VLOOKUP('Gráficos Semanais'!$H101,AVES!$G$1:$DF$311,(MATCH('Gráficos Semanais'!$D$12,AVES!$H$1:$DF$1,0))+1,0))</f>
        <v/>
      </c>
      <c r="J101" s="84"/>
      <c r="K101" s="84" t="s">
        <v>629</v>
      </c>
      <c r="L101" s="84" t="e">
        <f>IF(VLOOKUP('Gráficos Semanais'!$K101,' OVOS'!$G$1:$DF$311,(MATCH('Gráficos Semanais'!$D$12,' OVOS'!$H$1:$DF$1,0))+1,0)="","",VLOOKUP('Gráficos Semanais'!$K101,' OVOS'!$G$1:$DF$311,(MATCH('Gráficos Semanais'!$D$12,' OVOS'!$H$1:$DF$1,0))+1,0))</f>
        <v>#N/A</v>
      </c>
      <c r="M101" s="84" t="e" cm="1">
        <f t="array" ref="M101">_xlfn.IFS(L101="","",L101&lt;='Base de dados'!$K$2,'Base de dados'!$K$1,L101&lt;='Base de dados'!$L$3,'Base de dados'!$L$1,L101&lt;='Base de dados'!$M$3,'Base de dados'!$M$1,L101&gt;='Base de dados'!$N$2,'Base de dados'!$N$1)</f>
        <v>#N/A</v>
      </c>
      <c r="N101" s="84"/>
      <c r="O101" s="84"/>
    </row>
    <row r="102" spans="1:15" s="85" customFormat="1" x14ac:dyDescent="0.25">
      <c r="A102" s="47"/>
      <c r="B102" s="47"/>
      <c r="C102" s="47"/>
      <c r="D102" s="47"/>
      <c r="E102" s="47"/>
      <c r="F102" s="47"/>
      <c r="G102" s="47"/>
      <c r="H102" s="86" t="s">
        <v>107</v>
      </c>
      <c r="I102" s="86" t="str">
        <f>IF(VLOOKUP('Gráficos Semanais'!$H102,AVES!$G$1:$DF$311,(MATCH('Gráficos Semanais'!$D$12,AVES!$H$1:$DF$1,0))+1,0)="","",VLOOKUP('Gráficos Semanais'!$H102,AVES!$G$1:$DF$311,(MATCH('Gráficos Semanais'!$D$12,AVES!$H$1:$DF$1,0))+1,0))</f>
        <v/>
      </c>
      <c r="J102" s="84"/>
      <c r="K102" s="84" t="s">
        <v>630</v>
      </c>
      <c r="L102" s="84" t="e">
        <f>IF(VLOOKUP('Gráficos Semanais'!$K102,' OVOS'!$G$1:$DF$311,(MATCH('Gráficos Semanais'!$D$12,' OVOS'!$H$1:$DF$1,0))+1,0)="","",VLOOKUP('Gráficos Semanais'!$K102,' OVOS'!$G$1:$DF$311,(MATCH('Gráficos Semanais'!$D$12,' OVOS'!$H$1:$DF$1,0))+1,0))</f>
        <v>#N/A</v>
      </c>
      <c r="M102" s="84" t="e" cm="1">
        <f t="array" ref="M102">_xlfn.IFS(L102="","",L102&lt;='Base de dados'!$K$2,'Base de dados'!$K$1,L102&lt;='Base de dados'!$L$3,'Base de dados'!$L$1,L102&lt;='Base de dados'!$M$3,'Base de dados'!$M$1,L102&gt;='Base de dados'!$N$2,'Base de dados'!$N$1)</f>
        <v>#N/A</v>
      </c>
      <c r="N102" s="84"/>
      <c r="O102" s="84"/>
    </row>
    <row r="103" spans="1:15" s="85" customFormat="1" x14ac:dyDescent="0.25">
      <c r="A103" s="47"/>
      <c r="B103" s="47"/>
      <c r="C103" s="47"/>
      <c r="D103" s="47"/>
      <c r="E103" s="47"/>
      <c r="F103" s="47"/>
      <c r="G103" s="47"/>
      <c r="H103" s="86" t="s">
        <v>108</v>
      </c>
      <c r="I103" s="86" t="str">
        <f>IF(VLOOKUP('Gráficos Semanais'!$H103,AVES!$G$1:$DF$311,(MATCH('Gráficos Semanais'!$D$12,AVES!$H$1:$DF$1,0))+1,0)="","",VLOOKUP('Gráficos Semanais'!$H103,AVES!$G$1:$DF$311,(MATCH('Gráficos Semanais'!$D$12,AVES!$H$1:$DF$1,0))+1,0))</f>
        <v/>
      </c>
      <c r="J103" s="84"/>
      <c r="K103" s="84" t="s">
        <v>631</v>
      </c>
      <c r="L103" s="84" t="e">
        <f>IF(VLOOKUP('Gráficos Semanais'!$K103,' OVOS'!$G$1:$DF$311,(MATCH('Gráficos Semanais'!$D$12,' OVOS'!$H$1:$DF$1,0))+1,0)="","",VLOOKUP('Gráficos Semanais'!$K103,' OVOS'!$G$1:$DF$311,(MATCH('Gráficos Semanais'!$D$12,' OVOS'!$H$1:$DF$1,0))+1,0))</f>
        <v>#N/A</v>
      </c>
      <c r="M103" s="84" t="e" cm="1">
        <f t="array" ref="M103">_xlfn.IFS(L103="","",L103&lt;='Base de dados'!$K$2,'Base de dados'!$K$1,L103&lt;='Base de dados'!$L$3,'Base de dados'!$L$1,L103&lt;='Base de dados'!$M$3,'Base de dados'!$M$1,L103&gt;='Base de dados'!$N$2,'Base de dados'!$N$1)</f>
        <v>#N/A</v>
      </c>
      <c r="N103" s="84"/>
      <c r="O103" s="84"/>
    </row>
    <row r="104" spans="1:15" s="85" customFormat="1" x14ac:dyDescent="0.25">
      <c r="A104" s="47"/>
      <c r="B104" s="47"/>
      <c r="C104" s="47"/>
      <c r="D104" s="47"/>
      <c r="E104" s="47"/>
      <c r="F104" s="47"/>
      <c r="G104" s="47"/>
      <c r="H104" s="86" t="s">
        <v>109</v>
      </c>
      <c r="I104" s="86" t="str">
        <f>IF(VLOOKUP('Gráficos Semanais'!$H104,AVES!$G$1:$DF$311,(MATCH('Gráficos Semanais'!$D$12,AVES!$H$1:$DF$1,0))+1,0)="","",VLOOKUP('Gráficos Semanais'!$H104,AVES!$G$1:$DF$311,(MATCH('Gráficos Semanais'!$D$12,AVES!$H$1:$DF$1,0))+1,0))</f>
        <v/>
      </c>
      <c r="J104" s="84"/>
      <c r="K104" s="84" t="s">
        <v>632</v>
      </c>
      <c r="L104" s="84" t="e">
        <f>IF(VLOOKUP('Gráficos Semanais'!$K104,' OVOS'!$G$1:$DF$311,(MATCH('Gráficos Semanais'!$D$12,' OVOS'!$H$1:$DF$1,0))+1,0)="","",VLOOKUP('Gráficos Semanais'!$K104,' OVOS'!$G$1:$DF$311,(MATCH('Gráficos Semanais'!$D$12,' OVOS'!$H$1:$DF$1,0))+1,0))</f>
        <v>#N/A</v>
      </c>
      <c r="M104" s="84" t="e" cm="1">
        <f t="array" ref="M104">_xlfn.IFS(L104="","",L104&lt;='Base de dados'!$K$2,'Base de dados'!$K$1,L104&lt;='Base de dados'!$L$3,'Base de dados'!$L$1,L104&lt;='Base de dados'!$M$3,'Base de dados'!$M$1,L104&gt;='Base de dados'!$N$2,'Base de dados'!$N$1)</f>
        <v>#N/A</v>
      </c>
      <c r="N104" s="84"/>
      <c r="O104" s="84"/>
    </row>
    <row r="105" spans="1:15" s="85" customFormat="1" x14ac:dyDescent="0.25">
      <c r="A105" s="47"/>
      <c r="B105" s="47"/>
      <c r="C105" s="47"/>
      <c r="D105" s="47"/>
      <c r="E105" s="47"/>
      <c r="F105" s="47"/>
      <c r="G105" s="47"/>
      <c r="H105" s="86" t="s">
        <v>110</v>
      </c>
      <c r="I105" s="86" t="str">
        <f>IF(VLOOKUP('Gráficos Semanais'!$H105,AVES!$G$1:$DF$311,(MATCH('Gráficos Semanais'!$D$12,AVES!$H$1:$DF$1,0))+1,0)="","",VLOOKUP('Gráficos Semanais'!$H105,AVES!$G$1:$DF$311,(MATCH('Gráficos Semanais'!$D$12,AVES!$H$1:$DF$1,0))+1,0))</f>
        <v/>
      </c>
      <c r="J105" s="84"/>
      <c r="K105" s="84" t="s">
        <v>633</v>
      </c>
      <c r="L105" s="84" t="e">
        <f>IF(VLOOKUP('Gráficos Semanais'!$K105,' OVOS'!$G$1:$DF$311,(MATCH('Gráficos Semanais'!$D$12,' OVOS'!$H$1:$DF$1,0))+1,0)="","",VLOOKUP('Gráficos Semanais'!$K105,' OVOS'!$G$1:$DF$311,(MATCH('Gráficos Semanais'!$D$12,' OVOS'!$H$1:$DF$1,0))+1,0))</f>
        <v>#N/A</v>
      </c>
      <c r="M105" s="84" t="e" cm="1">
        <f t="array" ref="M105">_xlfn.IFS(L105="","",L105&lt;='Base de dados'!$K$2,'Base de dados'!$K$1,L105&lt;='Base de dados'!$L$3,'Base de dados'!$L$1,L105&lt;='Base de dados'!$M$3,'Base de dados'!$M$1,L105&gt;='Base de dados'!$N$2,'Base de dados'!$N$1)</f>
        <v>#N/A</v>
      </c>
      <c r="N105" s="84"/>
      <c r="O105" s="84"/>
    </row>
    <row r="106" spans="1:15" s="85" customFormat="1" x14ac:dyDescent="0.25">
      <c r="A106" s="47"/>
      <c r="B106" s="47"/>
      <c r="C106" s="47"/>
      <c r="D106" s="47"/>
      <c r="E106" s="47"/>
      <c r="F106" s="47"/>
      <c r="G106" s="47"/>
      <c r="H106" s="86" t="s">
        <v>111</v>
      </c>
      <c r="I106" s="86" t="str">
        <f>IF(VLOOKUP('Gráficos Semanais'!$H106,AVES!$G$1:$DF$311,(MATCH('Gráficos Semanais'!$D$12,AVES!$H$1:$DF$1,0))+1,0)="","",VLOOKUP('Gráficos Semanais'!$H106,AVES!$G$1:$DF$311,(MATCH('Gráficos Semanais'!$D$12,AVES!$H$1:$DF$1,0))+1,0))</f>
        <v/>
      </c>
      <c r="J106" s="84"/>
      <c r="K106" s="84" t="s">
        <v>634</v>
      </c>
      <c r="L106" s="84" t="e">
        <f>IF(VLOOKUP('Gráficos Semanais'!$K106,' OVOS'!$G$1:$DF$311,(MATCH('Gráficos Semanais'!$D$12,' OVOS'!$H$1:$DF$1,0))+1,0)="","",VLOOKUP('Gráficos Semanais'!$K106,' OVOS'!$G$1:$DF$311,(MATCH('Gráficos Semanais'!$D$12,' OVOS'!$H$1:$DF$1,0))+1,0))</f>
        <v>#N/A</v>
      </c>
      <c r="M106" s="84" t="e" cm="1">
        <f t="array" ref="M106">_xlfn.IFS(L106="","",L106&lt;='Base de dados'!$K$2,'Base de dados'!$K$1,L106&lt;='Base de dados'!$L$3,'Base de dados'!$L$1,L106&lt;='Base de dados'!$M$3,'Base de dados'!$M$1,L106&gt;='Base de dados'!$N$2,'Base de dados'!$N$1)</f>
        <v>#N/A</v>
      </c>
      <c r="N106" s="84"/>
      <c r="O106" s="84"/>
    </row>
    <row r="107" spans="1:15" s="85" customFormat="1" x14ac:dyDescent="0.25">
      <c r="A107" s="47"/>
      <c r="B107" s="47"/>
      <c r="C107" s="47"/>
      <c r="D107" s="47"/>
      <c r="E107" s="47"/>
      <c r="F107" s="47"/>
      <c r="G107" s="47"/>
      <c r="H107" s="86" t="s">
        <v>112</v>
      </c>
      <c r="I107" s="86" t="str">
        <f>IF(VLOOKUP('Gráficos Semanais'!$H107,AVES!$G$1:$DF$311,(MATCH('Gráficos Semanais'!$D$12,AVES!$H$1:$DF$1,0))+1,0)="","",VLOOKUP('Gráficos Semanais'!$H107,AVES!$G$1:$DF$311,(MATCH('Gráficos Semanais'!$D$12,AVES!$H$1:$DF$1,0))+1,0))</f>
        <v/>
      </c>
      <c r="J107" s="84"/>
      <c r="K107" s="84" t="s">
        <v>635</v>
      </c>
      <c r="L107" s="84" t="e">
        <f>IF(VLOOKUP('Gráficos Semanais'!$K107,' OVOS'!$G$1:$DF$311,(MATCH('Gráficos Semanais'!$D$12,' OVOS'!$H$1:$DF$1,0))+1,0)="","",VLOOKUP('Gráficos Semanais'!$K107,' OVOS'!$G$1:$DF$311,(MATCH('Gráficos Semanais'!$D$12,' OVOS'!$H$1:$DF$1,0))+1,0))</f>
        <v>#N/A</v>
      </c>
      <c r="M107" s="84" t="e" cm="1">
        <f t="array" ref="M107">_xlfn.IFS(L107="","",L107&lt;='Base de dados'!$K$2,'Base de dados'!$K$1,L107&lt;='Base de dados'!$L$3,'Base de dados'!$L$1,L107&lt;='Base de dados'!$M$3,'Base de dados'!$M$1,L107&gt;='Base de dados'!$N$2,'Base de dados'!$N$1)</f>
        <v>#N/A</v>
      </c>
      <c r="N107" s="84"/>
      <c r="O107" s="84"/>
    </row>
    <row r="108" spans="1:15" s="85" customFormat="1" x14ac:dyDescent="0.25">
      <c r="A108" s="47"/>
      <c r="B108" s="47"/>
      <c r="C108" s="47"/>
      <c r="D108" s="47"/>
      <c r="E108" s="47"/>
      <c r="F108" s="47"/>
      <c r="G108" s="47"/>
      <c r="H108" s="86" t="s">
        <v>113</v>
      </c>
      <c r="I108" s="86" t="str">
        <f>IF(VLOOKUP('Gráficos Semanais'!$H108,AVES!$G$1:$DF$311,(MATCH('Gráficos Semanais'!$D$12,AVES!$H$1:$DF$1,0))+1,0)="","",VLOOKUP('Gráficos Semanais'!$H108,AVES!$G$1:$DF$311,(MATCH('Gráficos Semanais'!$D$12,AVES!$H$1:$DF$1,0))+1,0))</f>
        <v/>
      </c>
      <c r="J108" s="84"/>
      <c r="K108" s="84" t="s">
        <v>636</v>
      </c>
      <c r="L108" s="84" t="e">
        <f>IF(VLOOKUP('Gráficos Semanais'!$K108,' OVOS'!$G$1:$DF$311,(MATCH('Gráficos Semanais'!$D$12,' OVOS'!$H$1:$DF$1,0))+1,0)="","",VLOOKUP('Gráficos Semanais'!$K108,' OVOS'!$G$1:$DF$311,(MATCH('Gráficos Semanais'!$D$12,' OVOS'!$H$1:$DF$1,0))+1,0))</f>
        <v>#N/A</v>
      </c>
      <c r="M108" s="84" t="e" cm="1">
        <f t="array" ref="M108">_xlfn.IFS(L108="","",L108&lt;='Base de dados'!$K$2,'Base de dados'!$K$1,L108&lt;='Base de dados'!$L$3,'Base de dados'!$L$1,L108&lt;='Base de dados'!$M$3,'Base de dados'!$M$1,L108&gt;='Base de dados'!$N$2,'Base de dados'!$N$1)</f>
        <v>#N/A</v>
      </c>
      <c r="N108" s="84"/>
      <c r="O108" s="84"/>
    </row>
    <row r="109" spans="1:15" s="85" customFormat="1" x14ac:dyDescent="0.25">
      <c r="A109" s="47"/>
      <c r="B109" s="47"/>
      <c r="C109" s="47"/>
      <c r="D109" s="47"/>
      <c r="E109" s="47"/>
      <c r="F109" s="47"/>
      <c r="G109" s="47"/>
      <c r="H109" s="86" t="s">
        <v>114</v>
      </c>
      <c r="I109" s="86" t="str">
        <f>IF(VLOOKUP('Gráficos Semanais'!$H109,AVES!$G$1:$DF$311,(MATCH('Gráficos Semanais'!$D$12,AVES!$H$1:$DF$1,0))+1,0)="","",VLOOKUP('Gráficos Semanais'!$H109,AVES!$G$1:$DF$311,(MATCH('Gráficos Semanais'!$D$12,AVES!$H$1:$DF$1,0))+1,0))</f>
        <v/>
      </c>
      <c r="J109" s="84"/>
      <c r="K109" s="84" t="s">
        <v>637</v>
      </c>
      <c r="L109" s="84" t="e">
        <f>IF(VLOOKUP('Gráficos Semanais'!$K109,' OVOS'!$G$1:$DF$311,(MATCH('Gráficos Semanais'!$D$12,' OVOS'!$H$1:$DF$1,0))+1,0)="","",VLOOKUP('Gráficos Semanais'!$K109,' OVOS'!$G$1:$DF$311,(MATCH('Gráficos Semanais'!$D$12,' OVOS'!$H$1:$DF$1,0))+1,0))</f>
        <v>#N/A</v>
      </c>
      <c r="M109" s="84" t="e" cm="1">
        <f t="array" ref="M109">_xlfn.IFS(L109="","",L109&lt;='Base de dados'!$K$2,'Base de dados'!$K$1,L109&lt;='Base de dados'!$L$3,'Base de dados'!$L$1,L109&lt;='Base de dados'!$M$3,'Base de dados'!$M$1,L109&gt;='Base de dados'!$N$2,'Base de dados'!$N$1)</f>
        <v>#N/A</v>
      </c>
      <c r="N109" s="84"/>
      <c r="O109" s="84"/>
    </row>
    <row r="110" spans="1:15" s="85" customFormat="1" x14ac:dyDescent="0.25">
      <c r="A110" s="47"/>
      <c r="B110" s="47"/>
      <c r="C110" s="47"/>
      <c r="D110" s="47"/>
      <c r="E110" s="47"/>
      <c r="F110" s="47"/>
      <c r="G110" s="47"/>
      <c r="H110" s="86" t="s">
        <v>115</v>
      </c>
      <c r="I110" s="86" t="str">
        <f>IF(VLOOKUP('Gráficos Semanais'!$H110,AVES!$G$1:$DF$311,(MATCH('Gráficos Semanais'!$D$12,AVES!$H$1:$DF$1,0))+1,0)="","",VLOOKUP('Gráficos Semanais'!$H110,AVES!$G$1:$DF$311,(MATCH('Gráficos Semanais'!$D$12,AVES!$H$1:$DF$1,0))+1,0))</f>
        <v/>
      </c>
      <c r="J110" s="84"/>
      <c r="K110" s="84" t="s">
        <v>638</v>
      </c>
      <c r="L110" s="84" t="e">
        <f>IF(VLOOKUP('Gráficos Semanais'!$K110,' OVOS'!$G$1:$DF$311,(MATCH('Gráficos Semanais'!$D$12,' OVOS'!$H$1:$DF$1,0))+1,0)="","",VLOOKUP('Gráficos Semanais'!$K110,' OVOS'!$G$1:$DF$311,(MATCH('Gráficos Semanais'!$D$12,' OVOS'!$H$1:$DF$1,0))+1,0))</f>
        <v>#N/A</v>
      </c>
      <c r="M110" s="84" t="e" cm="1">
        <f t="array" ref="M110">_xlfn.IFS(L110="","",L110&lt;='Base de dados'!$K$2,'Base de dados'!$K$1,L110&lt;='Base de dados'!$L$3,'Base de dados'!$L$1,L110&lt;='Base de dados'!$M$3,'Base de dados'!$M$1,L110&gt;='Base de dados'!$N$2,'Base de dados'!$N$1)</f>
        <v>#N/A</v>
      </c>
      <c r="N110" s="84"/>
      <c r="O110" s="84"/>
    </row>
    <row r="111" spans="1:15" s="85" customFormat="1" x14ac:dyDescent="0.25">
      <c r="A111" s="47"/>
      <c r="B111" s="47"/>
      <c r="C111" s="47"/>
      <c r="D111" s="47"/>
      <c r="E111" s="47"/>
      <c r="F111" s="47"/>
      <c r="G111" s="47"/>
      <c r="H111" s="86" t="s">
        <v>116</v>
      </c>
      <c r="I111" s="86" t="str">
        <f>IF(VLOOKUP('Gráficos Semanais'!$H111,AVES!$G$1:$DF$311,(MATCH('Gráficos Semanais'!$D$12,AVES!$H$1:$DF$1,0))+1,0)="","",VLOOKUP('Gráficos Semanais'!$H111,AVES!$G$1:$DF$311,(MATCH('Gráficos Semanais'!$D$12,AVES!$H$1:$DF$1,0))+1,0))</f>
        <v/>
      </c>
      <c r="J111" s="84"/>
      <c r="K111" s="84" t="s">
        <v>639</v>
      </c>
      <c r="L111" s="84" t="e">
        <f>IF(VLOOKUP('Gráficos Semanais'!$K111,' OVOS'!$G$1:$DF$311,(MATCH('Gráficos Semanais'!$D$12,' OVOS'!$H$1:$DF$1,0))+1,0)="","",VLOOKUP('Gráficos Semanais'!$K111,' OVOS'!$G$1:$DF$311,(MATCH('Gráficos Semanais'!$D$12,' OVOS'!$H$1:$DF$1,0))+1,0))</f>
        <v>#N/A</v>
      </c>
      <c r="M111" s="84" t="e" cm="1">
        <f t="array" ref="M111">_xlfn.IFS(L111="","",L111&lt;='Base de dados'!$K$2,'Base de dados'!$K$1,L111&lt;='Base de dados'!$L$3,'Base de dados'!$L$1,L111&lt;='Base de dados'!$M$3,'Base de dados'!$M$1,L111&gt;='Base de dados'!$N$2,'Base de dados'!$N$1)</f>
        <v>#N/A</v>
      </c>
      <c r="N111" s="84"/>
      <c r="O111" s="84"/>
    </row>
    <row r="112" spans="1:15" s="85" customFormat="1" x14ac:dyDescent="0.25">
      <c r="A112" s="47"/>
      <c r="B112" s="47"/>
      <c r="C112" s="47"/>
      <c r="D112" s="47"/>
      <c r="E112" s="47"/>
      <c r="F112" s="47"/>
      <c r="G112" s="47"/>
      <c r="H112" s="86" t="s">
        <v>117</v>
      </c>
      <c r="I112" s="86" t="str">
        <f>IF(VLOOKUP('Gráficos Semanais'!$H112,AVES!$G$1:$DF$311,(MATCH('Gráficos Semanais'!$D$12,AVES!$H$1:$DF$1,0))+1,0)="","",VLOOKUP('Gráficos Semanais'!$H112,AVES!$G$1:$DF$311,(MATCH('Gráficos Semanais'!$D$12,AVES!$H$1:$DF$1,0))+1,0))</f>
        <v/>
      </c>
      <c r="J112" s="84"/>
      <c r="K112" s="84" t="s">
        <v>640</v>
      </c>
      <c r="L112" s="84" t="e">
        <f>IF(VLOOKUP('Gráficos Semanais'!$K112,' OVOS'!$G$1:$DF$311,(MATCH('Gráficos Semanais'!$D$12,' OVOS'!$H$1:$DF$1,0))+1,0)="","",VLOOKUP('Gráficos Semanais'!$K112,' OVOS'!$G$1:$DF$311,(MATCH('Gráficos Semanais'!$D$12,' OVOS'!$H$1:$DF$1,0))+1,0))</f>
        <v>#N/A</v>
      </c>
      <c r="M112" s="84" t="e" cm="1">
        <f t="array" ref="M112">_xlfn.IFS(L112="","",L112&lt;='Base de dados'!$K$2,'Base de dados'!$K$1,L112&lt;='Base de dados'!$L$3,'Base de dados'!$L$1,L112&lt;='Base de dados'!$M$3,'Base de dados'!$M$1,L112&gt;='Base de dados'!$N$2,'Base de dados'!$N$1)</f>
        <v>#N/A</v>
      </c>
      <c r="N112" s="84"/>
      <c r="O112" s="84"/>
    </row>
    <row r="113" spans="1:15" s="85" customFormat="1" x14ac:dyDescent="0.25">
      <c r="A113" s="47"/>
      <c r="B113" s="47"/>
      <c r="C113" s="47"/>
      <c r="D113" s="47"/>
      <c r="E113" s="47"/>
      <c r="F113" s="47"/>
      <c r="G113" s="47"/>
      <c r="H113" s="86" t="s">
        <v>118</v>
      </c>
      <c r="I113" s="86" t="str">
        <f>IF(VLOOKUP('Gráficos Semanais'!$H113,AVES!$G$1:$DF$311,(MATCH('Gráficos Semanais'!$D$12,AVES!$H$1:$DF$1,0))+1,0)="","",VLOOKUP('Gráficos Semanais'!$H113,AVES!$G$1:$DF$311,(MATCH('Gráficos Semanais'!$D$12,AVES!$H$1:$DF$1,0))+1,0))</f>
        <v/>
      </c>
      <c r="J113" s="84"/>
      <c r="K113" s="84" t="s">
        <v>641</v>
      </c>
      <c r="L113" s="84" t="e">
        <f>IF(VLOOKUP('Gráficos Semanais'!$K113,' OVOS'!$G$1:$DF$311,(MATCH('Gráficos Semanais'!$D$12,' OVOS'!$H$1:$DF$1,0))+1,0)="","",VLOOKUP('Gráficos Semanais'!$K113,' OVOS'!$G$1:$DF$311,(MATCH('Gráficos Semanais'!$D$12,' OVOS'!$H$1:$DF$1,0))+1,0))</f>
        <v>#N/A</v>
      </c>
      <c r="M113" s="84" t="e" cm="1">
        <f t="array" ref="M113">_xlfn.IFS(L113="","",L113&lt;='Base de dados'!$K$2,'Base de dados'!$K$1,L113&lt;='Base de dados'!$L$3,'Base de dados'!$L$1,L113&lt;='Base de dados'!$M$3,'Base de dados'!$M$1,L113&gt;='Base de dados'!$N$2,'Base de dados'!$N$1)</f>
        <v>#N/A</v>
      </c>
      <c r="N113" s="84"/>
      <c r="O113" s="84"/>
    </row>
    <row r="114" spans="1:15" s="85" customFormat="1" x14ac:dyDescent="0.25">
      <c r="A114" s="47"/>
      <c r="B114" s="47"/>
      <c r="C114" s="47"/>
      <c r="D114" s="47"/>
      <c r="E114" s="47"/>
      <c r="F114" s="47"/>
      <c r="G114" s="47"/>
      <c r="H114" s="86" t="s">
        <v>119</v>
      </c>
      <c r="I114" s="86" t="str">
        <f>IF(VLOOKUP('Gráficos Semanais'!$H114,AVES!$G$1:$DF$311,(MATCH('Gráficos Semanais'!$D$12,AVES!$H$1:$DF$1,0))+1,0)="","",VLOOKUP('Gráficos Semanais'!$H114,AVES!$G$1:$DF$311,(MATCH('Gráficos Semanais'!$D$12,AVES!$H$1:$DF$1,0))+1,0))</f>
        <v/>
      </c>
      <c r="J114" s="84"/>
      <c r="K114" s="84" t="s">
        <v>642</v>
      </c>
      <c r="L114" s="84" t="e">
        <f>IF(VLOOKUP('Gráficos Semanais'!$K114,' OVOS'!$G$1:$DF$311,(MATCH('Gráficos Semanais'!$D$12,' OVOS'!$H$1:$DF$1,0))+1,0)="","",VLOOKUP('Gráficos Semanais'!$K114,' OVOS'!$G$1:$DF$311,(MATCH('Gráficos Semanais'!$D$12,' OVOS'!$H$1:$DF$1,0))+1,0))</f>
        <v>#N/A</v>
      </c>
      <c r="M114" s="84" t="e" cm="1">
        <f t="array" ref="M114">_xlfn.IFS(L114="","",L114&lt;='Base de dados'!$K$2,'Base de dados'!$K$1,L114&lt;='Base de dados'!$L$3,'Base de dados'!$L$1,L114&lt;='Base de dados'!$M$3,'Base de dados'!$M$1,L114&gt;='Base de dados'!$N$2,'Base de dados'!$N$1)</f>
        <v>#N/A</v>
      </c>
      <c r="N114" s="84"/>
      <c r="O114" s="84"/>
    </row>
    <row r="115" spans="1:15" s="85" customFormat="1" x14ac:dyDescent="0.25">
      <c r="A115" s="47"/>
      <c r="B115" s="47"/>
      <c r="C115" s="47"/>
      <c r="D115" s="47"/>
      <c r="E115" s="47"/>
      <c r="F115" s="47"/>
      <c r="G115" s="47"/>
      <c r="H115" s="86" t="s">
        <v>120</v>
      </c>
      <c r="I115" s="86" t="str">
        <f>IF(VLOOKUP('Gráficos Semanais'!$H115,AVES!$G$1:$DF$311,(MATCH('Gráficos Semanais'!$D$12,AVES!$H$1:$DF$1,0))+1,0)="","",VLOOKUP('Gráficos Semanais'!$H115,AVES!$G$1:$DF$311,(MATCH('Gráficos Semanais'!$D$12,AVES!$H$1:$DF$1,0))+1,0))</f>
        <v/>
      </c>
      <c r="J115" s="84"/>
      <c r="K115" s="84" t="s">
        <v>643</v>
      </c>
      <c r="L115" s="84" t="e">
        <f>IF(VLOOKUP('Gráficos Semanais'!$K115,' OVOS'!$G$1:$DF$311,(MATCH('Gráficos Semanais'!$D$12,' OVOS'!$H$1:$DF$1,0))+1,0)="","",VLOOKUP('Gráficos Semanais'!$K115,' OVOS'!$G$1:$DF$311,(MATCH('Gráficos Semanais'!$D$12,' OVOS'!$H$1:$DF$1,0))+1,0))</f>
        <v>#N/A</v>
      </c>
      <c r="M115" s="84" t="e" cm="1">
        <f t="array" ref="M115">_xlfn.IFS(L115="","",L115&lt;='Base de dados'!$K$2,'Base de dados'!$K$1,L115&lt;='Base de dados'!$L$3,'Base de dados'!$L$1,L115&lt;='Base de dados'!$M$3,'Base de dados'!$M$1,L115&gt;='Base de dados'!$N$2,'Base de dados'!$N$1)</f>
        <v>#N/A</v>
      </c>
      <c r="N115" s="84"/>
      <c r="O115" s="84"/>
    </row>
    <row r="116" spans="1:15" s="85" customFormat="1" x14ac:dyDescent="0.25">
      <c r="A116" s="47"/>
      <c r="B116" s="47"/>
      <c r="C116" s="47"/>
      <c r="D116" s="47"/>
      <c r="E116" s="47"/>
      <c r="F116" s="47"/>
      <c r="G116" s="47"/>
      <c r="H116" s="86" t="s">
        <v>121</v>
      </c>
      <c r="I116" s="86" t="str">
        <f>IF(VLOOKUP('Gráficos Semanais'!$H116,AVES!$G$1:$DF$311,(MATCH('Gráficos Semanais'!$D$12,AVES!$H$1:$DF$1,0))+1,0)="","",VLOOKUP('Gráficos Semanais'!$H116,AVES!$G$1:$DF$311,(MATCH('Gráficos Semanais'!$D$12,AVES!$H$1:$DF$1,0))+1,0))</f>
        <v/>
      </c>
      <c r="J116" s="84"/>
      <c r="K116" s="84" t="s">
        <v>644</v>
      </c>
      <c r="L116" s="84" t="e">
        <f>IF(VLOOKUP('Gráficos Semanais'!$K116,' OVOS'!$G$1:$DF$311,(MATCH('Gráficos Semanais'!$D$12,' OVOS'!$H$1:$DF$1,0))+1,0)="","",VLOOKUP('Gráficos Semanais'!$K116,' OVOS'!$G$1:$DF$311,(MATCH('Gráficos Semanais'!$D$12,' OVOS'!$H$1:$DF$1,0))+1,0))</f>
        <v>#N/A</v>
      </c>
      <c r="M116" s="84" t="e" cm="1">
        <f t="array" ref="M116">_xlfn.IFS(L116="","",L116&lt;='Base de dados'!$K$2,'Base de dados'!$K$1,L116&lt;='Base de dados'!$L$3,'Base de dados'!$L$1,L116&lt;='Base de dados'!$M$3,'Base de dados'!$M$1,L116&gt;='Base de dados'!$N$2,'Base de dados'!$N$1)</f>
        <v>#N/A</v>
      </c>
      <c r="N116" s="84"/>
      <c r="O116" s="84"/>
    </row>
    <row r="117" spans="1:15" s="85" customFormat="1" x14ac:dyDescent="0.25">
      <c r="A117" s="47"/>
      <c r="B117" s="47"/>
      <c r="C117" s="47"/>
      <c r="D117" s="47"/>
      <c r="E117" s="47"/>
      <c r="F117" s="47"/>
      <c r="G117" s="47"/>
      <c r="H117" s="86" t="s">
        <v>122</v>
      </c>
      <c r="I117" s="86" t="str">
        <f>IF(VLOOKUP('Gráficos Semanais'!$H117,AVES!$G$1:$DF$311,(MATCH('Gráficos Semanais'!$D$12,AVES!$H$1:$DF$1,0))+1,0)="","",VLOOKUP('Gráficos Semanais'!$H117,AVES!$G$1:$DF$311,(MATCH('Gráficos Semanais'!$D$12,AVES!$H$1:$DF$1,0))+1,0))</f>
        <v/>
      </c>
      <c r="J117" s="84"/>
      <c r="K117" s="84" t="s">
        <v>645</v>
      </c>
      <c r="L117" s="84" t="e">
        <f>IF(VLOOKUP('Gráficos Semanais'!$K117,' OVOS'!$G$1:$DF$311,(MATCH('Gráficos Semanais'!$D$12,' OVOS'!$H$1:$DF$1,0))+1,0)="","",VLOOKUP('Gráficos Semanais'!$K117,' OVOS'!$G$1:$DF$311,(MATCH('Gráficos Semanais'!$D$12,' OVOS'!$H$1:$DF$1,0))+1,0))</f>
        <v>#N/A</v>
      </c>
      <c r="M117" s="84" t="e" cm="1">
        <f t="array" ref="M117">_xlfn.IFS(L117="","",L117&lt;='Base de dados'!$K$2,'Base de dados'!$K$1,L117&lt;='Base de dados'!$L$3,'Base de dados'!$L$1,L117&lt;='Base de dados'!$M$3,'Base de dados'!$M$1,L117&gt;='Base de dados'!$N$2,'Base de dados'!$N$1)</f>
        <v>#N/A</v>
      </c>
      <c r="N117" s="84"/>
      <c r="O117" s="84"/>
    </row>
    <row r="118" spans="1:15" s="85" customFormat="1" x14ac:dyDescent="0.25">
      <c r="A118" s="47"/>
      <c r="B118" s="47"/>
      <c r="C118" s="47"/>
      <c r="D118" s="47"/>
      <c r="E118" s="47"/>
      <c r="F118" s="47"/>
      <c r="G118" s="47"/>
      <c r="H118" s="86" t="s">
        <v>123</v>
      </c>
      <c r="I118" s="86" t="str">
        <f>IF(VLOOKUP('Gráficos Semanais'!$H118,AVES!$G$1:$DF$311,(MATCH('Gráficos Semanais'!$D$12,AVES!$H$1:$DF$1,0))+1,0)="","",VLOOKUP('Gráficos Semanais'!$H118,AVES!$G$1:$DF$311,(MATCH('Gráficos Semanais'!$D$12,AVES!$H$1:$DF$1,0))+1,0))</f>
        <v/>
      </c>
      <c r="J118" s="84"/>
      <c r="K118" s="84" t="s">
        <v>646</v>
      </c>
      <c r="L118" s="84" t="e">
        <f>IF(VLOOKUP('Gráficos Semanais'!$K118,' OVOS'!$G$1:$DF$311,(MATCH('Gráficos Semanais'!$D$12,' OVOS'!$H$1:$DF$1,0))+1,0)="","",VLOOKUP('Gráficos Semanais'!$K118,' OVOS'!$G$1:$DF$311,(MATCH('Gráficos Semanais'!$D$12,' OVOS'!$H$1:$DF$1,0))+1,0))</f>
        <v>#N/A</v>
      </c>
      <c r="M118" s="84" t="e" cm="1">
        <f t="array" ref="M118">_xlfn.IFS(L118="","",L118&lt;='Base de dados'!$K$2,'Base de dados'!$K$1,L118&lt;='Base de dados'!$L$3,'Base de dados'!$L$1,L118&lt;='Base de dados'!$M$3,'Base de dados'!$M$1,L118&gt;='Base de dados'!$N$2,'Base de dados'!$N$1)</f>
        <v>#N/A</v>
      </c>
      <c r="N118" s="84"/>
      <c r="O118" s="84"/>
    </row>
    <row r="119" spans="1:15" s="85" customFormat="1" x14ac:dyDescent="0.25">
      <c r="A119" s="47"/>
      <c r="B119" s="47"/>
      <c r="C119" s="47"/>
      <c r="D119" s="47"/>
      <c r="E119" s="47"/>
      <c r="F119" s="47"/>
      <c r="G119" s="47"/>
      <c r="H119" s="86" t="s">
        <v>124</v>
      </c>
      <c r="I119" s="86" t="str">
        <f>IF(VLOOKUP('Gráficos Semanais'!$H119,AVES!$G$1:$DF$311,(MATCH('Gráficos Semanais'!$D$12,AVES!$H$1:$DF$1,0))+1,0)="","",VLOOKUP('Gráficos Semanais'!$H119,AVES!$G$1:$DF$311,(MATCH('Gráficos Semanais'!$D$12,AVES!$H$1:$DF$1,0))+1,0))</f>
        <v/>
      </c>
      <c r="J119" s="84"/>
      <c r="K119" s="84" t="s">
        <v>647</v>
      </c>
      <c r="L119" s="84" t="e">
        <f>IF(VLOOKUP('Gráficos Semanais'!$K119,' OVOS'!$G$1:$DF$311,(MATCH('Gráficos Semanais'!$D$12,' OVOS'!$H$1:$DF$1,0))+1,0)="","",VLOOKUP('Gráficos Semanais'!$K119,' OVOS'!$G$1:$DF$311,(MATCH('Gráficos Semanais'!$D$12,' OVOS'!$H$1:$DF$1,0))+1,0))</f>
        <v>#N/A</v>
      </c>
      <c r="M119" s="84" t="e" cm="1">
        <f t="array" ref="M119">_xlfn.IFS(L119="","",L119&lt;='Base de dados'!$K$2,'Base de dados'!$K$1,L119&lt;='Base de dados'!$L$3,'Base de dados'!$L$1,L119&lt;='Base de dados'!$M$3,'Base de dados'!$M$1,L119&gt;='Base de dados'!$N$2,'Base de dados'!$N$1)</f>
        <v>#N/A</v>
      </c>
      <c r="N119" s="84"/>
      <c r="O119" s="84"/>
    </row>
    <row r="120" spans="1:15" s="85" customFormat="1" x14ac:dyDescent="0.25">
      <c r="A120" s="47"/>
      <c r="B120" s="47"/>
      <c r="C120" s="47"/>
      <c r="D120" s="47"/>
      <c r="E120" s="47"/>
      <c r="F120" s="47"/>
      <c r="G120" s="47"/>
      <c r="H120" s="86" t="s">
        <v>125</v>
      </c>
      <c r="I120" s="86" t="str">
        <f>IF(VLOOKUP('Gráficos Semanais'!$H120,AVES!$G$1:$DF$311,(MATCH('Gráficos Semanais'!$D$12,AVES!$H$1:$DF$1,0))+1,0)="","",VLOOKUP('Gráficos Semanais'!$H120,AVES!$G$1:$DF$311,(MATCH('Gráficos Semanais'!$D$12,AVES!$H$1:$DF$1,0))+1,0))</f>
        <v/>
      </c>
      <c r="J120" s="84"/>
      <c r="K120" s="84" t="s">
        <v>648</v>
      </c>
      <c r="L120" s="84" t="e">
        <f>IF(VLOOKUP('Gráficos Semanais'!$K120,' OVOS'!$G$1:$DF$311,(MATCH('Gráficos Semanais'!$D$12,' OVOS'!$H$1:$DF$1,0))+1,0)="","",VLOOKUP('Gráficos Semanais'!$K120,' OVOS'!$G$1:$DF$311,(MATCH('Gráficos Semanais'!$D$12,' OVOS'!$H$1:$DF$1,0))+1,0))</f>
        <v>#N/A</v>
      </c>
      <c r="M120" s="84" t="e" cm="1">
        <f t="array" ref="M120">_xlfn.IFS(L120="","",L120&lt;='Base de dados'!$K$2,'Base de dados'!$K$1,L120&lt;='Base de dados'!$L$3,'Base de dados'!$L$1,L120&lt;='Base de dados'!$M$3,'Base de dados'!$M$1,L120&gt;='Base de dados'!$N$2,'Base de dados'!$N$1)</f>
        <v>#N/A</v>
      </c>
      <c r="N120" s="84"/>
      <c r="O120" s="84"/>
    </row>
    <row r="121" spans="1:15" s="85" customFormat="1" x14ac:dyDescent="0.25">
      <c r="A121" s="47"/>
      <c r="B121" s="47"/>
      <c r="C121" s="47"/>
      <c r="D121" s="47"/>
      <c r="E121" s="47"/>
      <c r="F121" s="47"/>
      <c r="G121" s="47"/>
      <c r="H121" s="86" t="s">
        <v>126</v>
      </c>
      <c r="I121" s="86" t="str">
        <f>IF(VLOOKUP('Gráficos Semanais'!$H121,AVES!$G$1:$DF$311,(MATCH('Gráficos Semanais'!$D$12,AVES!$H$1:$DF$1,0))+1,0)="","",VLOOKUP('Gráficos Semanais'!$H121,AVES!$G$1:$DF$311,(MATCH('Gráficos Semanais'!$D$12,AVES!$H$1:$DF$1,0))+1,0))</f>
        <v/>
      </c>
      <c r="J121" s="84"/>
      <c r="K121" s="84" t="s">
        <v>649</v>
      </c>
      <c r="L121" s="84" t="e">
        <f>IF(VLOOKUP('Gráficos Semanais'!$K121,' OVOS'!$G$1:$DF$311,(MATCH('Gráficos Semanais'!$D$12,' OVOS'!$H$1:$DF$1,0))+1,0)="","",VLOOKUP('Gráficos Semanais'!$K121,' OVOS'!$G$1:$DF$311,(MATCH('Gráficos Semanais'!$D$12,' OVOS'!$H$1:$DF$1,0))+1,0))</f>
        <v>#N/A</v>
      </c>
      <c r="M121" s="84" t="e" cm="1">
        <f t="array" ref="M121">_xlfn.IFS(L121="","",L121&lt;='Base de dados'!$K$2,'Base de dados'!$K$1,L121&lt;='Base de dados'!$L$3,'Base de dados'!$L$1,L121&lt;='Base de dados'!$M$3,'Base de dados'!$M$1,L121&gt;='Base de dados'!$N$2,'Base de dados'!$N$1)</f>
        <v>#N/A</v>
      </c>
      <c r="N121" s="84"/>
      <c r="O121" s="84"/>
    </row>
    <row r="122" spans="1:15" s="85" customFormat="1" x14ac:dyDescent="0.25">
      <c r="A122" s="47"/>
      <c r="B122" s="47"/>
      <c r="C122" s="47"/>
      <c r="D122" s="47"/>
      <c r="E122" s="47"/>
      <c r="F122" s="47"/>
      <c r="G122" s="47"/>
      <c r="H122" s="86" t="s">
        <v>127</v>
      </c>
      <c r="I122" s="86" t="str">
        <f>IF(VLOOKUP('Gráficos Semanais'!$H122,AVES!$G$1:$DF$311,(MATCH('Gráficos Semanais'!$D$12,AVES!$H$1:$DF$1,0))+1,0)="","",VLOOKUP('Gráficos Semanais'!$H122,AVES!$G$1:$DF$311,(MATCH('Gráficos Semanais'!$D$12,AVES!$H$1:$DF$1,0))+1,0))</f>
        <v/>
      </c>
      <c r="J122" s="84"/>
      <c r="K122" s="84" t="s">
        <v>650</v>
      </c>
      <c r="L122" s="84" t="e">
        <f>IF(VLOOKUP('Gráficos Semanais'!$K122,' OVOS'!$G$1:$DF$311,(MATCH('Gráficos Semanais'!$D$12,' OVOS'!$H$1:$DF$1,0))+1,0)="","",VLOOKUP('Gráficos Semanais'!$K122,' OVOS'!$G$1:$DF$311,(MATCH('Gráficos Semanais'!$D$12,' OVOS'!$H$1:$DF$1,0))+1,0))</f>
        <v>#N/A</v>
      </c>
      <c r="M122" s="84" t="e" cm="1">
        <f t="array" ref="M122">_xlfn.IFS(L122="","",L122&lt;='Base de dados'!$K$2,'Base de dados'!$K$1,L122&lt;='Base de dados'!$L$3,'Base de dados'!$L$1,L122&lt;='Base de dados'!$M$3,'Base de dados'!$M$1,L122&gt;='Base de dados'!$N$2,'Base de dados'!$N$1)</f>
        <v>#N/A</v>
      </c>
      <c r="N122" s="84"/>
      <c r="O122" s="84"/>
    </row>
    <row r="123" spans="1:15" s="85" customFormat="1" x14ac:dyDescent="0.25">
      <c r="A123" s="47"/>
      <c r="B123" s="47"/>
      <c r="C123" s="47"/>
      <c r="D123" s="47"/>
      <c r="E123" s="47"/>
      <c r="F123" s="47"/>
      <c r="G123" s="47"/>
      <c r="H123" s="86" t="s">
        <v>128</v>
      </c>
      <c r="I123" s="86" t="str">
        <f>IF(VLOOKUP('Gráficos Semanais'!$H123,AVES!$G$1:$DF$311,(MATCH('Gráficos Semanais'!$D$12,AVES!$H$1:$DF$1,0))+1,0)="","",VLOOKUP('Gráficos Semanais'!$H123,AVES!$G$1:$DF$311,(MATCH('Gráficos Semanais'!$D$12,AVES!$H$1:$DF$1,0))+1,0))</f>
        <v/>
      </c>
      <c r="J123" s="84"/>
      <c r="K123" s="84" t="s">
        <v>651</v>
      </c>
      <c r="L123" s="84" t="e">
        <f>IF(VLOOKUP('Gráficos Semanais'!$K123,' OVOS'!$G$1:$DF$311,(MATCH('Gráficos Semanais'!$D$12,' OVOS'!$H$1:$DF$1,0))+1,0)="","",VLOOKUP('Gráficos Semanais'!$K123,' OVOS'!$G$1:$DF$311,(MATCH('Gráficos Semanais'!$D$12,' OVOS'!$H$1:$DF$1,0))+1,0))</f>
        <v>#N/A</v>
      </c>
      <c r="M123" s="84" t="e" cm="1">
        <f t="array" ref="M123">_xlfn.IFS(L123="","",L123&lt;='Base de dados'!$K$2,'Base de dados'!$K$1,L123&lt;='Base de dados'!$L$3,'Base de dados'!$L$1,L123&lt;='Base de dados'!$M$3,'Base de dados'!$M$1,L123&gt;='Base de dados'!$N$2,'Base de dados'!$N$1)</f>
        <v>#N/A</v>
      </c>
      <c r="N123" s="84"/>
      <c r="O123" s="84"/>
    </row>
    <row r="124" spans="1:15" s="85" customFormat="1" x14ac:dyDescent="0.25">
      <c r="A124" s="47"/>
      <c r="B124" s="47"/>
      <c r="C124" s="47"/>
      <c r="D124" s="47"/>
      <c r="E124" s="47"/>
      <c r="F124" s="47"/>
      <c r="G124" s="47"/>
      <c r="H124" s="86" t="s">
        <v>129</v>
      </c>
      <c r="I124" s="86" t="str">
        <f>IF(VLOOKUP('Gráficos Semanais'!$H124,AVES!$G$1:$DF$311,(MATCH('Gráficos Semanais'!$D$12,AVES!$H$1:$DF$1,0))+1,0)="","",VLOOKUP('Gráficos Semanais'!$H124,AVES!$G$1:$DF$311,(MATCH('Gráficos Semanais'!$D$12,AVES!$H$1:$DF$1,0))+1,0))</f>
        <v/>
      </c>
      <c r="J124" s="84"/>
      <c r="K124" s="84" t="s">
        <v>652</v>
      </c>
      <c r="L124" s="84" t="e">
        <f>IF(VLOOKUP('Gráficos Semanais'!$K124,' OVOS'!$G$1:$DF$311,(MATCH('Gráficos Semanais'!$D$12,' OVOS'!$H$1:$DF$1,0))+1,0)="","",VLOOKUP('Gráficos Semanais'!$K124,' OVOS'!$G$1:$DF$311,(MATCH('Gráficos Semanais'!$D$12,' OVOS'!$H$1:$DF$1,0))+1,0))</f>
        <v>#N/A</v>
      </c>
      <c r="M124" s="84" t="e" cm="1">
        <f t="array" ref="M124">_xlfn.IFS(L124="","",L124&lt;='Base de dados'!$K$2,'Base de dados'!$K$1,L124&lt;='Base de dados'!$L$3,'Base de dados'!$L$1,L124&lt;='Base de dados'!$M$3,'Base de dados'!$M$1,L124&gt;='Base de dados'!$N$2,'Base de dados'!$N$1)</f>
        <v>#N/A</v>
      </c>
      <c r="N124" s="84"/>
      <c r="O124" s="84"/>
    </row>
    <row r="125" spans="1:15" s="85" customFormat="1" x14ac:dyDescent="0.25">
      <c r="A125" s="47"/>
      <c r="B125" s="47"/>
      <c r="C125" s="47"/>
      <c r="D125" s="47"/>
      <c r="E125" s="47"/>
      <c r="F125" s="47"/>
      <c r="G125" s="47"/>
      <c r="H125" s="86" t="s">
        <v>130</v>
      </c>
      <c r="I125" s="86" t="str">
        <f>IF(VLOOKUP('Gráficos Semanais'!$H125,AVES!$G$1:$DF$311,(MATCH('Gráficos Semanais'!$D$12,AVES!$H$1:$DF$1,0))+1,0)="","",VLOOKUP('Gráficos Semanais'!$H125,AVES!$G$1:$DF$311,(MATCH('Gráficos Semanais'!$D$12,AVES!$H$1:$DF$1,0))+1,0))</f>
        <v/>
      </c>
      <c r="J125" s="84"/>
      <c r="K125" s="84" t="s">
        <v>653</v>
      </c>
      <c r="L125" s="84" t="e">
        <f>IF(VLOOKUP('Gráficos Semanais'!$K125,' OVOS'!$G$1:$DF$311,(MATCH('Gráficos Semanais'!$D$12,' OVOS'!$H$1:$DF$1,0))+1,0)="","",VLOOKUP('Gráficos Semanais'!$K125,' OVOS'!$G$1:$DF$311,(MATCH('Gráficos Semanais'!$D$12,' OVOS'!$H$1:$DF$1,0))+1,0))</f>
        <v>#N/A</v>
      </c>
      <c r="M125" s="84" t="e" cm="1">
        <f t="array" ref="M125">_xlfn.IFS(L125="","",L125&lt;='Base de dados'!$K$2,'Base de dados'!$K$1,L125&lt;='Base de dados'!$L$3,'Base de dados'!$L$1,L125&lt;='Base de dados'!$M$3,'Base de dados'!$M$1,L125&gt;='Base de dados'!$N$2,'Base de dados'!$N$1)</f>
        <v>#N/A</v>
      </c>
      <c r="N125" s="84"/>
      <c r="O125" s="84"/>
    </row>
    <row r="126" spans="1:15" s="85" customFormat="1" x14ac:dyDescent="0.25">
      <c r="A126" s="47"/>
      <c r="B126" s="47"/>
      <c r="C126" s="47"/>
      <c r="D126" s="47"/>
      <c r="E126" s="47"/>
      <c r="F126" s="47"/>
      <c r="G126" s="47"/>
      <c r="H126" s="86" t="s">
        <v>131</v>
      </c>
      <c r="I126" s="86" t="str">
        <f>IF(VLOOKUP('Gráficos Semanais'!$H126,AVES!$G$1:$DF$311,(MATCH('Gráficos Semanais'!$D$12,AVES!$H$1:$DF$1,0))+1,0)="","",VLOOKUP('Gráficos Semanais'!$H126,AVES!$G$1:$DF$311,(MATCH('Gráficos Semanais'!$D$12,AVES!$H$1:$DF$1,0))+1,0))</f>
        <v/>
      </c>
      <c r="J126" s="84"/>
      <c r="K126" s="84" t="s">
        <v>654</v>
      </c>
      <c r="L126" s="84" t="e">
        <f>IF(VLOOKUP('Gráficos Semanais'!$K126,' OVOS'!$G$1:$DF$311,(MATCH('Gráficos Semanais'!$D$12,' OVOS'!$H$1:$DF$1,0))+1,0)="","",VLOOKUP('Gráficos Semanais'!$K126,' OVOS'!$G$1:$DF$311,(MATCH('Gráficos Semanais'!$D$12,' OVOS'!$H$1:$DF$1,0))+1,0))</f>
        <v>#N/A</v>
      </c>
      <c r="M126" s="84" t="e" cm="1">
        <f t="array" ref="M126">_xlfn.IFS(L126="","",L126&lt;='Base de dados'!$K$2,'Base de dados'!$K$1,L126&lt;='Base de dados'!$L$3,'Base de dados'!$L$1,L126&lt;='Base de dados'!$M$3,'Base de dados'!$M$1,L126&gt;='Base de dados'!$N$2,'Base de dados'!$N$1)</f>
        <v>#N/A</v>
      </c>
      <c r="N126" s="84"/>
      <c r="O126" s="84"/>
    </row>
    <row r="127" spans="1:15" s="85" customFormat="1" x14ac:dyDescent="0.25">
      <c r="A127" s="47"/>
      <c r="B127" s="47"/>
      <c r="C127" s="47"/>
      <c r="D127" s="47"/>
      <c r="E127" s="47"/>
      <c r="F127" s="47"/>
      <c r="G127" s="47"/>
      <c r="H127" s="86" t="s">
        <v>132</v>
      </c>
      <c r="I127" s="86" t="str">
        <f>IF(VLOOKUP('Gráficos Semanais'!$H127,AVES!$G$1:$DF$311,(MATCH('Gráficos Semanais'!$D$12,AVES!$H$1:$DF$1,0))+1,0)="","",VLOOKUP('Gráficos Semanais'!$H127,AVES!$G$1:$DF$311,(MATCH('Gráficos Semanais'!$D$12,AVES!$H$1:$DF$1,0))+1,0))</f>
        <v/>
      </c>
      <c r="J127" s="84"/>
      <c r="K127" s="84" t="s">
        <v>655</v>
      </c>
      <c r="L127" s="84" t="e">
        <f>IF(VLOOKUP('Gráficos Semanais'!$K127,' OVOS'!$G$1:$DF$311,(MATCH('Gráficos Semanais'!$D$12,' OVOS'!$H$1:$DF$1,0))+1,0)="","",VLOOKUP('Gráficos Semanais'!$K127,' OVOS'!$G$1:$DF$311,(MATCH('Gráficos Semanais'!$D$12,' OVOS'!$H$1:$DF$1,0))+1,0))</f>
        <v>#N/A</v>
      </c>
      <c r="M127" s="84" t="e" cm="1">
        <f t="array" ref="M127">_xlfn.IFS(L127="","",L127&lt;='Base de dados'!$K$2,'Base de dados'!$K$1,L127&lt;='Base de dados'!$L$3,'Base de dados'!$L$1,L127&lt;='Base de dados'!$M$3,'Base de dados'!$M$1,L127&gt;='Base de dados'!$N$2,'Base de dados'!$N$1)</f>
        <v>#N/A</v>
      </c>
      <c r="N127" s="84"/>
      <c r="O127" s="84"/>
    </row>
    <row r="128" spans="1:15" s="85" customFormat="1" x14ac:dyDescent="0.25">
      <c r="A128" s="47"/>
      <c r="B128" s="47"/>
      <c r="C128" s="47"/>
      <c r="D128" s="47"/>
      <c r="E128" s="47"/>
      <c r="F128" s="47"/>
      <c r="G128" s="47"/>
      <c r="H128" s="86" t="s">
        <v>133</v>
      </c>
      <c r="I128" s="86" t="str">
        <f>IF(VLOOKUP('Gráficos Semanais'!$H128,AVES!$G$1:$DF$311,(MATCH('Gráficos Semanais'!$D$12,AVES!$H$1:$DF$1,0))+1,0)="","",VLOOKUP('Gráficos Semanais'!$H128,AVES!$G$1:$DF$311,(MATCH('Gráficos Semanais'!$D$12,AVES!$H$1:$DF$1,0))+1,0))</f>
        <v/>
      </c>
      <c r="J128" s="84"/>
      <c r="K128" s="84" t="s">
        <v>656</v>
      </c>
      <c r="L128" s="84" t="e">
        <f>IF(VLOOKUP('Gráficos Semanais'!$K128,' OVOS'!$G$1:$DF$311,(MATCH('Gráficos Semanais'!$D$12,' OVOS'!$H$1:$DF$1,0))+1,0)="","",VLOOKUP('Gráficos Semanais'!$K128,' OVOS'!$G$1:$DF$311,(MATCH('Gráficos Semanais'!$D$12,' OVOS'!$H$1:$DF$1,0))+1,0))</f>
        <v>#N/A</v>
      </c>
      <c r="M128" s="84" t="e" cm="1">
        <f t="array" ref="M128">_xlfn.IFS(L128="","",L128&lt;='Base de dados'!$K$2,'Base de dados'!$K$1,L128&lt;='Base de dados'!$L$3,'Base de dados'!$L$1,L128&lt;='Base de dados'!$M$3,'Base de dados'!$M$1,L128&gt;='Base de dados'!$N$2,'Base de dados'!$N$1)</f>
        <v>#N/A</v>
      </c>
      <c r="N128" s="84"/>
      <c r="O128" s="84"/>
    </row>
    <row r="129" spans="1:15" s="85" customFormat="1" x14ac:dyDescent="0.25">
      <c r="A129" s="47"/>
      <c r="B129" s="47"/>
      <c r="C129" s="47"/>
      <c r="D129" s="47"/>
      <c r="E129" s="47"/>
      <c r="F129" s="47"/>
      <c r="G129" s="47"/>
      <c r="H129" s="86" t="s">
        <v>134</v>
      </c>
      <c r="I129" s="86" t="str">
        <f>IF(VLOOKUP('Gráficos Semanais'!$H129,AVES!$G$1:$DF$311,(MATCH('Gráficos Semanais'!$D$12,AVES!$H$1:$DF$1,0))+1,0)="","",VLOOKUP('Gráficos Semanais'!$H129,AVES!$G$1:$DF$311,(MATCH('Gráficos Semanais'!$D$12,AVES!$H$1:$DF$1,0))+1,0))</f>
        <v/>
      </c>
      <c r="J129" s="84"/>
      <c r="K129" s="84" t="s">
        <v>657</v>
      </c>
      <c r="L129" s="84" t="e">
        <f>IF(VLOOKUP('Gráficos Semanais'!$K129,' OVOS'!$G$1:$DF$311,(MATCH('Gráficos Semanais'!$D$12,' OVOS'!$H$1:$DF$1,0))+1,0)="","",VLOOKUP('Gráficos Semanais'!$K129,' OVOS'!$G$1:$DF$311,(MATCH('Gráficos Semanais'!$D$12,' OVOS'!$H$1:$DF$1,0))+1,0))</f>
        <v>#N/A</v>
      </c>
      <c r="M129" s="84" t="e" cm="1">
        <f t="array" ref="M129">_xlfn.IFS(L129="","",L129&lt;='Base de dados'!$K$2,'Base de dados'!$K$1,L129&lt;='Base de dados'!$L$3,'Base de dados'!$L$1,L129&lt;='Base de dados'!$M$3,'Base de dados'!$M$1,L129&gt;='Base de dados'!$N$2,'Base de dados'!$N$1)</f>
        <v>#N/A</v>
      </c>
      <c r="N129" s="84"/>
      <c r="O129" s="84"/>
    </row>
    <row r="130" spans="1:15" s="85" customFormat="1" x14ac:dyDescent="0.25">
      <c r="A130" s="47"/>
      <c r="B130" s="47"/>
      <c r="C130" s="47"/>
      <c r="D130" s="47"/>
      <c r="E130" s="47"/>
      <c r="F130" s="47"/>
      <c r="G130" s="47"/>
      <c r="H130" s="86" t="s">
        <v>135</v>
      </c>
      <c r="I130" s="86" t="str">
        <f>IF(VLOOKUP('Gráficos Semanais'!$H130,AVES!$G$1:$DF$311,(MATCH('Gráficos Semanais'!$D$12,AVES!$H$1:$DF$1,0))+1,0)="","",VLOOKUP('Gráficos Semanais'!$H130,AVES!$G$1:$DF$311,(MATCH('Gráficos Semanais'!$D$12,AVES!$H$1:$DF$1,0))+1,0))</f>
        <v/>
      </c>
      <c r="J130" s="84"/>
      <c r="K130" s="84" t="s">
        <v>658</v>
      </c>
      <c r="L130" s="84" t="e">
        <f>IF(VLOOKUP('Gráficos Semanais'!$K130,' OVOS'!$G$1:$DF$311,(MATCH('Gráficos Semanais'!$D$12,' OVOS'!$H$1:$DF$1,0))+1,0)="","",VLOOKUP('Gráficos Semanais'!$K130,' OVOS'!$G$1:$DF$311,(MATCH('Gráficos Semanais'!$D$12,' OVOS'!$H$1:$DF$1,0))+1,0))</f>
        <v>#N/A</v>
      </c>
      <c r="M130" s="84" t="e" cm="1">
        <f t="array" ref="M130">_xlfn.IFS(L130="","",L130&lt;='Base de dados'!$K$2,'Base de dados'!$K$1,L130&lt;='Base de dados'!$L$3,'Base de dados'!$L$1,L130&lt;='Base de dados'!$M$3,'Base de dados'!$M$1,L130&gt;='Base de dados'!$N$2,'Base de dados'!$N$1)</f>
        <v>#N/A</v>
      </c>
      <c r="N130" s="84"/>
      <c r="O130" s="84"/>
    </row>
    <row r="131" spans="1:15" s="85" customFormat="1" x14ac:dyDescent="0.25">
      <c r="A131" s="47"/>
      <c r="B131" s="47"/>
      <c r="C131" s="47"/>
      <c r="D131" s="47"/>
      <c r="E131" s="47"/>
      <c r="F131" s="47"/>
      <c r="G131" s="47"/>
      <c r="H131" s="86" t="s">
        <v>136</v>
      </c>
      <c r="I131" s="86" t="str">
        <f>IF(VLOOKUP('Gráficos Semanais'!$H131,AVES!$G$1:$DF$311,(MATCH('Gráficos Semanais'!$D$12,AVES!$H$1:$DF$1,0))+1,0)="","",VLOOKUP('Gráficos Semanais'!$H131,AVES!$G$1:$DF$311,(MATCH('Gráficos Semanais'!$D$12,AVES!$H$1:$DF$1,0))+1,0))</f>
        <v/>
      </c>
      <c r="J131" s="84"/>
      <c r="K131" s="84" t="s">
        <v>659</v>
      </c>
      <c r="L131" s="84" t="e">
        <f>IF(VLOOKUP('Gráficos Semanais'!$K131,' OVOS'!$G$1:$DF$311,(MATCH('Gráficos Semanais'!$D$12,' OVOS'!$H$1:$DF$1,0))+1,0)="","",VLOOKUP('Gráficos Semanais'!$K131,' OVOS'!$G$1:$DF$311,(MATCH('Gráficos Semanais'!$D$12,' OVOS'!$H$1:$DF$1,0))+1,0))</f>
        <v>#N/A</v>
      </c>
      <c r="M131" s="84" t="e" cm="1">
        <f t="array" ref="M131">_xlfn.IFS(L131="","",L131&lt;='Base de dados'!$K$2,'Base de dados'!$K$1,L131&lt;='Base de dados'!$L$3,'Base de dados'!$L$1,L131&lt;='Base de dados'!$M$3,'Base de dados'!$M$1,L131&gt;='Base de dados'!$N$2,'Base de dados'!$N$1)</f>
        <v>#N/A</v>
      </c>
      <c r="N131" s="84"/>
      <c r="O131" s="84"/>
    </row>
    <row r="132" spans="1:15" s="85" customFormat="1" x14ac:dyDescent="0.25">
      <c r="A132" s="47"/>
      <c r="B132" s="47"/>
      <c r="C132" s="47"/>
      <c r="D132" s="47"/>
      <c r="E132" s="47"/>
      <c r="F132" s="47"/>
      <c r="G132" s="47"/>
      <c r="H132" s="86" t="s">
        <v>137</v>
      </c>
      <c r="I132" s="86" t="str">
        <f>IF(VLOOKUP('Gráficos Semanais'!$H132,AVES!$G$1:$DF$311,(MATCH('Gráficos Semanais'!$D$12,AVES!$H$1:$DF$1,0))+1,0)="","",VLOOKUP('Gráficos Semanais'!$H132,AVES!$G$1:$DF$311,(MATCH('Gráficos Semanais'!$D$12,AVES!$H$1:$DF$1,0))+1,0))</f>
        <v/>
      </c>
      <c r="J132" s="84"/>
      <c r="K132" s="84" t="s">
        <v>660</v>
      </c>
      <c r="L132" s="84" t="e">
        <f>IF(VLOOKUP('Gráficos Semanais'!$K132,' OVOS'!$G$1:$DF$311,(MATCH('Gráficos Semanais'!$D$12,' OVOS'!$H$1:$DF$1,0))+1,0)="","",VLOOKUP('Gráficos Semanais'!$K132,' OVOS'!$G$1:$DF$311,(MATCH('Gráficos Semanais'!$D$12,' OVOS'!$H$1:$DF$1,0))+1,0))</f>
        <v>#N/A</v>
      </c>
      <c r="M132" s="84" t="e" cm="1">
        <f t="array" ref="M132">_xlfn.IFS(L132="","",L132&lt;='Base de dados'!$K$2,'Base de dados'!$K$1,L132&lt;='Base de dados'!$L$3,'Base de dados'!$L$1,L132&lt;='Base de dados'!$M$3,'Base de dados'!$M$1,L132&gt;='Base de dados'!$N$2,'Base de dados'!$N$1)</f>
        <v>#N/A</v>
      </c>
      <c r="N132" s="84"/>
      <c r="O132" s="84"/>
    </row>
    <row r="133" spans="1:15" s="85" customFormat="1" x14ac:dyDescent="0.25">
      <c r="A133" s="47"/>
      <c r="B133" s="47"/>
      <c r="C133" s="47"/>
      <c r="D133" s="47"/>
      <c r="E133" s="47"/>
      <c r="F133" s="47"/>
      <c r="G133" s="47"/>
      <c r="H133" s="86" t="s">
        <v>138</v>
      </c>
      <c r="I133" s="86" t="str">
        <f>IF(VLOOKUP('Gráficos Semanais'!$H133,AVES!$G$1:$DF$311,(MATCH('Gráficos Semanais'!$D$12,AVES!$H$1:$DF$1,0))+1,0)="","",VLOOKUP('Gráficos Semanais'!$H133,AVES!$G$1:$DF$311,(MATCH('Gráficos Semanais'!$D$12,AVES!$H$1:$DF$1,0))+1,0))</f>
        <v/>
      </c>
      <c r="J133" s="84"/>
      <c r="K133" s="84" t="s">
        <v>661</v>
      </c>
      <c r="L133" s="84" t="e">
        <f>IF(VLOOKUP('Gráficos Semanais'!$K133,' OVOS'!$G$1:$DF$311,(MATCH('Gráficos Semanais'!$D$12,' OVOS'!$H$1:$DF$1,0))+1,0)="","",VLOOKUP('Gráficos Semanais'!$K133,' OVOS'!$G$1:$DF$311,(MATCH('Gráficos Semanais'!$D$12,' OVOS'!$H$1:$DF$1,0))+1,0))</f>
        <v>#N/A</v>
      </c>
      <c r="M133" s="84" t="e" cm="1">
        <f t="array" ref="M133">_xlfn.IFS(L133="","",L133&lt;='Base de dados'!$K$2,'Base de dados'!$K$1,L133&lt;='Base de dados'!$L$3,'Base de dados'!$L$1,L133&lt;='Base de dados'!$M$3,'Base de dados'!$M$1,L133&gt;='Base de dados'!$N$2,'Base de dados'!$N$1)</f>
        <v>#N/A</v>
      </c>
      <c r="N133" s="84"/>
      <c r="O133" s="84"/>
    </row>
    <row r="134" spans="1:15" s="85" customFormat="1" x14ac:dyDescent="0.25">
      <c r="A134" s="47"/>
      <c r="B134" s="47"/>
      <c r="C134" s="47"/>
      <c r="D134" s="47"/>
      <c r="E134" s="47"/>
      <c r="F134" s="47"/>
      <c r="G134" s="47"/>
      <c r="H134" s="86" t="s">
        <v>139</v>
      </c>
      <c r="I134" s="86" t="str">
        <f>IF(VLOOKUP('Gráficos Semanais'!$H134,AVES!$G$1:$DF$311,(MATCH('Gráficos Semanais'!$D$12,AVES!$H$1:$DF$1,0))+1,0)="","",VLOOKUP('Gráficos Semanais'!$H134,AVES!$G$1:$DF$311,(MATCH('Gráficos Semanais'!$D$12,AVES!$H$1:$DF$1,0))+1,0))</f>
        <v/>
      </c>
      <c r="J134" s="84"/>
      <c r="K134" s="84" t="s">
        <v>662</v>
      </c>
      <c r="L134" s="84" t="e">
        <f>IF(VLOOKUP('Gráficos Semanais'!$K134,' OVOS'!$G$1:$DF$311,(MATCH('Gráficos Semanais'!$D$12,' OVOS'!$H$1:$DF$1,0))+1,0)="","",VLOOKUP('Gráficos Semanais'!$K134,' OVOS'!$G$1:$DF$311,(MATCH('Gráficos Semanais'!$D$12,' OVOS'!$H$1:$DF$1,0))+1,0))</f>
        <v>#N/A</v>
      </c>
      <c r="M134" s="84" t="e" cm="1">
        <f t="array" ref="M134">_xlfn.IFS(L134="","",L134&lt;='Base de dados'!$K$2,'Base de dados'!$K$1,L134&lt;='Base de dados'!$L$3,'Base de dados'!$L$1,L134&lt;='Base de dados'!$M$3,'Base de dados'!$M$1,L134&gt;='Base de dados'!$N$2,'Base de dados'!$N$1)</f>
        <v>#N/A</v>
      </c>
      <c r="N134" s="84"/>
      <c r="O134" s="84"/>
    </row>
    <row r="135" spans="1:15" s="85" customFormat="1" x14ac:dyDescent="0.25">
      <c r="A135" s="47"/>
      <c r="B135" s="47"/>
      <c r="C135" s="47"/>
      <c r="D135" s="47"/>
      <c r="E135" s="47"/>
      <c r="F135" s="47"/>
      <c r="G135" s="47"/>
      <c r="H135" s="86" t="s">
        <v>140</v>
      </c>
      <c r="I135" s="86" t="str">
        <f>IF(VLOOKUP('Gráficos Semanais'!$H135,AVES!$G$1:$DF$311,(MATCH('Gráficos Semanais'!$D$12,AVES!$H$1:$DF$1,0))+1,0)="","",VLOOKUP('Gráficos Semanais'!$H135,AVES!$G$1:$DF$311,(MATCH('Gráficos Semanais'!$D$12,AVES!$H$1:$DF$1,0))+1,0))</f>
        <v/>
      </c>
      <c r="J135" s="84"/>
      <c r="K135" s="84" t="s">
        <v>663</v>
      </c>
      <c r="L135" s="84" t="e">
        <f>IF(VLOOKUP('Gráficos Semanais'!$K135,' OVOS'!$G$1:$DF$311,(MATCH('Gráficos Semanais'!$D$12,' OVOS'!$H$1:$DF$1,0))+1,0)="","",VLOOKUP('Gráficos Semanais'!$K135,' OVOS'!$G$1:$DF$311,(MATCH('Gráficos Semanais'!$D$12,' OVOS'!$H$1:$DF$1,0))+1,0))</f>
        <v>#N/A</v>
      </c>
      <c r="M135" s="84" t="e" cm="1">
        <f t="array" ref="M135">_xlfn.IFS(L135="","",L135&lt;='Base de dados'!$K$2,'Base de dados'!$K$1,L135&lt;='Base de dados'!$L$3,'Base de dados'!$L$1,L135&lt;='Base de dados'!$M$3,'Base de dados'!$M$1,L135&gt;='Base de dados'!$N$2,'Base de dados'!$N$1)</f>
        <v>#N/A</v>
      </c>
      <c r="N135" s="84"/>
      <c r="O135" s="84"/>
    </row>
    <row r="136" spans="1:15" s="85" customFormat="1" x14ac:dyDescent="0.25">
      <c r="A136" s="47"/>
      <c r="B136" s="47"/>
      <c r="C136" s="47"/>
      <c r="D136" s="47"/>
      <c r="E136" s="47"/>
      <c r="F136" s="47"/>
      <c r="G136" s="47"/>
      <c r="H136" s="86" t="s">
        <v>141</v>
      </c>
      <c r="I136" s="86" t="str">
        <f>IF(VLOOKUP('Gráficos Semanais'!$H136,AVES!$G$1:$DF$311,(MATCH('Gráficos Semanais'!$D$12,AVES!$H$1:$DF$1,0))+1,0)="","",VLOOKUP('Gráficos Semanais'!$H136,AVES!$G$1:$DF$311,(MATCH('Gráficos Semanais'!$D$12,AVES!$H$1:$DF$1,0))+1,0))</f>
        <v/>
      </c>
      <c r="J136" s="84"/>
      <c r="K136" s="84" t="s">
        <v>664</v>
      </c>
      <c r="L136" s="84" t="e">
        <f>IF(VLOOKUP('Gráficos Semanais'!$K136,' OVOS'!$G$1:$DF$311,(MATCH('Gráficos Semanais'!$D$12,' OVOS'!$H$1:$DF$1,0))+1,0)="","",VLOOKUP('Gráficos Semanais'!$K136,' OVOS'!$G$1:$DF$311,(MATCH('Gráficos Semanais'!$D$12,' OVOS'!$H$1:$DF$1,0))+1,0))</f>
        <v>#N/A</v>
      </c>
      <c r="M136" s="84" t="e" cm="1">
        <f t="array" ref="M136">_xlfn.IFS(L136="","",L136&lt;='Base de dados'!$K$2,'Base de dados'!$K$1,L136&lt;='Base de dados'!$L$3,'Base de dados'!$L$1,L136&lt;='Base de dados'!$M$3,'Base de dados'!$M$1,L136&gt;='Base de dados'!$N$2,'Base de dados'!$N$1)</f>
        <v>#N/A</v>
      </c>
      <c r="N136" s="84"/>
      <c r="O136" s="84"/>
    </row>
    <row r="137" spans="1:15" s="85" customFormat="1" x14ac:dyDescent="0.25">
      <c r="A137" s="47"/>
      <c r="B137" s="47"/>
      <c r="C137" s="47"/>
      <c r="D137" s="47"/>
      <c r="E137" s="47"/>
      <c r="F137" s="47"/>
      <c r="G137" s="47"/>
      <c r="H137" s="86" t="s">
        <v>142</v>
      </c>
      <c r="I137" s="86" t="str">
        <f>IF(VLOOKUP('Gráficos Semanais'!$H137,AVES!$G$1:$DF$311,(MATCH('Gráficos Semanais'!$D$12,AVES!$H$1:$DF$1,0))+1,0)="","",VLOOKUP('Gráficos Semanais'!$H137,AVES!$G$1:$DF$311,(MATCH('Gráficos Semanais'!$D$12,AVES!$H$1:$DF$1,0))+1,0))</f>
        <v/>
      </c>
      <c r="J137" s="84"/>
      <c r="K137" s="84" t="s">
        <v>665</v>
      </c>
      <c r="L137" s="84" t="e">
        <f>IF(VLOOKUP('Gráficos Semanais'!$K137,' OVOS'!$G$1:$DF$311,(MATCH('Gráficos Semanais'!$D$12,' OVOS'!$H$1:$DF$1,0))+1,0)="","",VLOOKUP('Gráficos Semanais'!$K137,' OVOS'!$G$1:$DF$311,(MATCH('Gráficos Semanais'!$D$12,' OVOS'!$H$1:$DF$1,0))+1,0))</f>
        <v>#N/A</v>
      </c>
      <c r="M137" s="84" t="e" cm="1">
        <f t="array" ref="M137">_xlfn.IFS(L137="","",L137&lt;='Base de dados'!$K$2,'Base de dados'!$K$1,L137&lt;='Base de dados'!$L$3,'Base de dados'!$L$1,L137&lt;='Base de dados'!$M$3,'Base de dados'!$M$1,L137&gt;='Base de dados'!$N$2,'Base de dados'!$N$1)</f>
        <v>#N/A</v>
      </c>
      <c r="N137" s="84"/>
      <c r="O137" s="84"/>
    </row>
    <row r="138" spans="1:15" s="85" customFormat="1" x14ac:dyDescent="0.25">
      <c r="A138" s="47"/>
      <c r="B138" s="47"/>
      <c r="C138" s="47"/>
      <c r="D138" s="47"/>
      <c r="E138" s="47"/>
      <c r="F138" s="47"/>
      <c r="G138" s="47"/>
      <c r="H138" s="86" t="s">
        <v>143</v>
      </c>
      <c r="I138" s="86" t="str">
        <f>IF(VLOOKUP('Gráficos Semanais'!$H138,AVES!$G$1:$DF$311,(MATCH('Gráficos Semanais'!$D$12,AVES!$H$1:$DF$1,0))+1,0)="","",VLOOKUP('Gráficos Semanais'!$H138,AVES!$G$1:$DF$311,(MATCH('Gráficos Semanais'!$D$12,AVES!$H$1:$DF$1,0))+1,0))</f>
        <v/>
      </c>
      <c r="J138" s="84"/>
      <c r="K138" s="84" t="s">
        <v>666</v>
      </c>
      <c r="L138" s="84" t="e">
        <f>IF(VLOOKUP('Gráficos Semanais'!$K138,' OVOS'!$G$1:$DF$311,(MATCH('Gráficos Semanais'!$D$12,' OVOS'!$H$1:$DF$1,0))+1,0)="","",VLOOKUP('Gráficos Semanais'!$K138,' OVOS'!$G$1:$DF$311,(MATCH('Gráficos Semanais'!$D$12,' OVOS'!$H$1:$DF$1,0))+1,0))</f>
        <v>#N/A</v>
      </c>
      <c r="M138" s="84" t="e" cm="1">
        <f t="array" ref="M138">_xlfn.IFS(L138="","",L138&lt;='Base de dados'!$K$2,'Base de dados'!$K$1,L138&lt;='Base de dados'!$L$3,'Base de dados'!$L$1,L138&lt;='Base de dados'!$M$3,'Base de dados'!$M$1,L138&gt;='Base de dados'!$N$2,'Base de dados'!$N$1)</f>
        <v>#N/A</v>
      </c>
      <c r="N138" s="84"/>
      <c r="O138" s="84"/>
    </row>
    <row r="139" spans="1:15" s="85" customFormat="1" x14ac:dyDescent="0.25">
      <c r="A139" s="47"/>
      <c r="B139" s="47"/>
      <c r="C139" s="47"/>
      <c r="D139" s="47"/>
      <c r="E139" s="47"/>
      <c r="F139" s="47"/>
      <c r="G139" s="47"/>
      <c r="H139" s="86" t="s">
        <v>144</v>
      </c>
      <c r="I139" s="86" t="str">
        <f>IF(VLOOKUP('Gráficos Semanais'!$H139,AVES!$G$1:$DF$311,(MATCH('Gráficos Semanais'!$D$12,AVES!$H$1:$DF$1,0))+1,0)="","",VLOOKUP('Gráficos Semanais'!$H139,AVES!$G$1:$DF$311,(MATCH('Gráficos Semanais'!$D$12,AVES!$H$1:$DF$1,0))+1,0))</f>
        <v/>
      </c>
      <c r="J139" s="84"/>
      <c r="K139" s="84" t="s">
        <v>667</v>
      </c>
      <c r="L139" s="84" t="e">
        <f>IF(VLOOKUP('Gráficos Semanais'!$K139,' OVOS'!$G$1:$DF$311,(MATCH('Gráficos Semanais'!$D$12,' OVOS'!$H$1:$DF$1,0))+1,0)="","",VLOOKUP('Gráficos Semanais'!$K139,' OVOS'!$G$1:$DF$311,(MATCH('Gráficos Semanais'!$D$12,' OVOS'!$H$1:$DF$1,0))+1,0))</f>
        <v>#N/A</v>
      </c>
      <c r="M139" s="84" t="e" cm="1">
        <f t="array" ref="M139">_xlfn.IFS(L139="","",L139&lt;='Base de dados'!$K$2,'Base de dados'!$K$1,L139&lt;='Base de dados'!$L$3,'Base de dados'!$L$1,L139&lt;='Base de dados'!$M$3,'Base de dados'!$M$1,L139&gt;='Base de dados'!$N$2,'Base de dados'!$N$1)</f>
        <v>#N/A</v>
      </c>
      <c r="N139" s="84"/>
      <c r="O139" s="84"/>
    </row>
    <row r="140" spans="1:15" s="85" customFormat="1" x14ac:dyDescent="0.25">
      <c r="A140" s="47"/>
      <c r="B140" s="47"/>
      <c r="C140" s="47"/>
      <c r="D140" s="47"/>
      <c r="E140" s="47"/>
      <c r="F140" s="47"/>
      <c r="G140" s="47"/>
      <c r="H140" s="86" t="s">
        <v>145</v>
      </c>
      <c r="I140" s="86" t="str">
        <f>IF(VLOOKUP('Gráficos Semanais'!$H140,AVES!$G$1:$DF$311,(MATCH('Gráficos Semanais'!$D$12,AVES!$H$1:$DF$1,0))+1,0)="","",VLOOKUP('Gráficos Semanais'!$H140,AVES!$G$1:$DF$311,(MATCH('Gráficos Semanais'!$D$12,AVES!$H$1:$DF$1,0))+1,0))</f>
        <v/>
      </c>
      <c r="J140" s="84"/>
      <c r="K140" s="84" t="s">
        <v>668</v>
      </c>
      <c r="L140" s="84" t="e">
        <f>IF(VLOOKUP('Gráficos Semanais'!$K140,' OVOS'!$G$1:$DF$311,(MATCH('Gráficos Semanais'!$D$12,' OVOS'!$H$1:$DF$1,0))+1,0)="","",VLOOKUP('Gráficos Semanais'!$K140,' OVOS'!$G$1:$DF$311,(MATCH('Gráficos Semanais'!$D$12,' OVOS'!$H$1:$DF$1,0))+1,0))</f>
        <v>#N/A</v>
      </c>
      <c r="M140" s="84" t="e" cm="1">
        <f t="array" ref="M140">_xlfn.IFS(L140="","",L140&lt;='Base de dados'!$K$2,'Base de dados'!$K$1,L140&lt;='Base de dados'!$L$3,'Base de dados'!$L$1,L140&lt;='Base de dados'!$M$3,'Base de dados'!$M$1,L140&gt;='Base de dados'!$N$2,'Base de dados'!$N$1)</f>
        <v>#N/A</v>
      </c>
      <c r="N140" s="84"/>
      <c r="O140" s="84"/>
    </row>
    <row r="141" spans="1:15" s="85" customFormat="1" x14ac:dyDescent="0.25">
      <c r="A141" s="47"/>
      <c r="B141" s="47"/>
      <c r="C141" s="47"/>
      <c r="D141" s="47"/>
      <c r="E141" s="47"/>
      <c r="F141" s="47"/>
      <c r="G141" s="47"/>
      <c r="H141" s="86" t="s">
        <v>146</v>
      </c>
      <c r="I141" s="86" t="str">
        <f>IF(VLOOKUP('Gráficos Semanais'!$H141,AVES!$G$1:$DF$311,(MATCH('Gráficos Semanais'!$D$12,AVES!$H$1:$DF$1,0))+1,0)="","",VLOOKUP('Gráficos Semanais'!$H141,AVES!$G$1:$DF$311,(MATCH('Gráficos Semanais'!$D$12,AVES!$H$1:$DF$1,0))+1,0))</f>
        <v/>
      </c>
      <c r="J141" s="84"/>
      <c r="K141" s="84" t="s">
        <v>669</v>
      </c>
      <c r="L141" s="84" t="e">
        <f>IF(VLOOKUP('Gráficos Semanais'!$K141,' OVOS'!$G$1:$DF$311,(MATCH('Gráficos Semanais'!$D$12,' OVOS'!$H$1:$DF$1,0))+1,0)="","",VLOOKUP('Gráficos Semanais'!$K141,' OVOS'!$G$1:$DF$311,(MATCH('Gráficos Semanais'!$D$12,' OVOS'!$H$1:$DF$1,0))+1,0))</f>
        <v>#N/A</v>
      </c>
      <c r="M141" s="84" t="e" cm="1">
        <f t="array" ref="M141">_xlfn.IFS(L141="","",L141&lt;='Base de dados'!$K$2,'Base de dados'!$K$1,L141&lt;='Base de dados'!$L$3,'Base de dados'!$L$1,L141&lt;='Base de dados'!$M$3,'Base de dados'!$M$1,L141&gt;='Base de dados'!$N$2,'Base de dados'!$N$1)</f>
        <v>#N/A</v>
      </c>
      <c r="N141" s="84"/>
      <c r="O141" s="84"/>
    </row>
    <row r="142" spans="1:15" s="85" customFormat="1" x14ac:dyDescent="0.25">
      <c r="A142" s="47"/>
      <c r="B142" s="47"/>
      <c r="C142" s="47"/>
      <c r="D142" s="47"/>
      <c r="E142" s="47"/>
      <c r="F142" s="47"/>
      <c r="G142" s="47"/>
      <c r="H142" s="86" t="s">
        <v>147</v>
      </c>
      <c r="I142" s="86" t="str">
        <f>IF(VLOOKUP('Gráficos Semanais'!$H142,AVES!$G$1:$DF$311,(MATCH('Gráficos Semanais'!$D$12,AVES!$H$1:$DF$1,0))+1,0)="","",VLOOKUP('Gráficos Semanais'!$H142,AVES!$G$1:$DF$311,(MATCH('Gráficos Semanais'!$D$12,AVES!$H$1:$DF$1,0))+1,0))</f>
        <v/>
      </c>
      <c r="J142" s="84"/>
      <c r="K142" s="84" t="s">
        <v>670</v>
      </c>
      <c r="L142" s="84" t="e">
        <f>IF(VLOOKUP('Gráficos Semanais'!$K142,' OVOS'!$G$1:$DF$311,(MATCH('Gráficos Semanais'!$D$12,' OVOS'!$H$1:$DF$1,0))+1,0)="","",VLOOKUP('Gráficos Semanais'!$K142,' OVOS'!$G$1:$DF$311,(MATCH('Gráficos Semanais'!$D$12,' OVOS'!$H$1:$DF$1,0))+1,0))</f>
        <v>#N/A</v>
      </c>
      <c r="M142" s="84" t="e" cm="1">
        <f t="array" ref="M142">_xlfn.IFS(L142="","",L142&lt;='Base de dados'!$K$2,'Base de dados'!$K$1,L142&lt;='Base de dados'!$L$3,'Base de dados'!$L$1,L142&lt;='Base de dados'!$M$3,'Base de dados'!$M$1,L142&gt;='Base de dados'!$N$2,'Base de dados'!$N$1)</f>
        <v>#N/A</v>
      </c>
      <c r="N142" s="84"/>
      <c r="O142" s="84"/>
    </row>
    <row r="143" spans="1:15" s="85" customFormat="1" x14ac:dyDescent="0.25">
      <c r="A143" s="47"/>
      <c r="B143" s="47"/>
      <c r="C143" s="47"/>
      <c r="D143" s="47"/>
      <c r="E143" s="47"/>
      <c r="F143" s="47"/>
      <c r="G143" s="47"/>
      <c r="H143" s="86" t="s">
        <v>148</v>
      </c>
      <c r="I143" s="86" t="str">
        <f>IF(VLOOKUP('Gráficos Semanais'!$H143,AVES!$G$1:$DF$311,(MATCH('Gráficos Semanais'!$D$12,AVES!$H$1:$DF$1,0))+1,0)="","",VLOOKUP('Gráficos Semanais'!$H143,AVES!$G$1:$DF$311,(MATCH('Gráficos Semanais'!$D$12,AVES!$H$1:$DF$1,0))+1,0))</f>
        <v/>
      </c>
      <c r="J143" s="84"/>
      <c r="K143" s="84" t="s">
        <v>671</v>
      </c>
      <c r="L143" s="84" t="e">
        <f>IF(VLOOKUP('Gráficos Semanais'!$K143,' OVOS'!$G$1:$DF$311,(MATCH('Gráficos Semanais'!$D$12,' OVOS'!$H$1:$DF$1,0))+1,0)="","",VLOOKUP('Gráficos Semanais'!$K143,' OVOS'!$G$1:$DF$311,(MATCH('Gráficos Semanais'!$D$12,' OVOS'!$H$1:$DF$1,0))+1,0))</f>
        <v>#N/A</v>
      </c>
      <c r="M143" s="84" t="e" cm="1">
        <f t="array" ref="M143">_xlfn.IFS(L143="","",L143&lt;='Base de dados'!$K$2,'Base de dados'!$K$1,L143&lt;='Base de dados'!$L$3,'Base de dados'!$L$1,L143&lt;='Base de dados'!$M$3,'Base de dados'!$M$1,L143&gt;='Base de dados'!$N$2,'Base de dados'!$N$1)</f>
        <v>#N/A</v>
      </c>
      <c r="N143" s="84"/>
      <c r="O143" s="84"/>
    </row>
    <row r="144" spans="1:15" s="85" customFormat="1" x14ac:dyDescent="0.25">
      <c r="A144" s="47"/>
      <c r="B144" s="47"/>
      <c r="C144" s="47"/>
      <c r="D144" s="47"/>
      <c r="E144" s="47"/>
      <c r="F144" s="47"/>
      <c r="G144" s="47"/>
      <c r="H144" s="86" t="s">
        <v>149</v>
      </c>
      <c r="I144" s="86" t="str">
        <f>IF(VLOOKUP('Gráficos Semanais'!$H144,AVES!$G$1:$DF$311,(MATCH('Gráficos Semanais'!$D$12,AVES!$H$1:$DF$1,0))+1,0)="","",VLOOKUP('Gráficos Semanais'!$H144,AVES!$G$1:$DF$311,(MATCH('Gráficos Semanais'!$D$12,AVES!$H$1:$DF$1,0))+1,0))</f>
        <v/>
      </c>
      <c r="J144" s="84"/>
      <c r="K144" s="84" t="s">
        <v>672</v>
      </c>
      <c r="L144" s="84" t="e">
        <f>IF(VLOOKUP('Gráficos Semanais'!$K144,' OVOS'!$G$1:$DF$311,(MATCH('Gráficos Semanais'!$D$12,' OVOS'!$H$1:$DF$1,0))+1,0)="","",VLOOKUP('Gráficos Semanais'!$K144,' OVOS'!$G$1:$DF$311,(MATCH('Gráficos Semanais'!$D$12,' OVOS'!$H$1:$DF$1,0))+1,0))</f>
        <v>#N/A</v>
      </c>
      <c r="M144" s="84" t="e" cm="1">
        <f t="array" ref="M144">_xlfn.IFS(L144="","",L144&lt;='Base de dados'!$K$2,'Base de dados'!$K$1,L144&lt;='Base de dados'!$L$3,'Base de dados'!$L$1,L144&lt;='Base de dados'!$M$3,'Base de dados'!$M$1,L144&gt;='Base de dados'!$N$2,'Base de dados'!$N$1)</f>
        <v>#N/A</v>
      </c>
      <c r="N144" s="84"/>
      <c r="O144" s="84"/>
    </row>
    <row r="145" spans="1:15" s="85" customFormat="1" x14ac:dyDescent="0.25">
      <c r="A145" s="47"/>
      <c r="B145" s="47"/>
      <c r="C145" s="47"/>
      <c r="D145" s="47"/>
      <c r="E145" s="47"/>
      <c r="F145" s="47"/>
      <c r="G145" s="47"/>
      <c r="H145" s="86" t="s">
        <v>150</v>
      </c>
      <c r="I145" s="86" t="str">
        <f>IF(VLOOKUP('Gráficos Semanais'!$H145,AVES!$G$1:$DF$311,(MATCH('Gráficos Semanais'!$D$12,AVES!$H$1:$DF$1,0))+1,0)="","",VLOOKUP('Gráficos Semanais'!$H145,AVES!$G$1:$DF$311,(MATCH('Gráficos Semanais'!$D$12,AVES!$H$1:$DF$1,0))+1,0))</f>
        <v/>
      </c>
      <c r="J145" s="84"/>
      <c r="K145" s="84" t="s">
        <v>673</v>
      </c>
      <c r="L145" s="84" t="e">
        <f>IF(VLOOKUP('Gráficos Semanais'!$K145,' OVOS'!$G$1:$DF$311,(MATCH('Gráficos Semanais'!$D$12,' OVOS'!$H$1:$DF$1,0))+1,0)="","",VLOOKUP('Gráficos Semanais'!$K145,' OVOS'!$G$1:$DF$311,(MATCH('Gráficos Semanais'!$D$12,' OVOS'!$H$1:$DF$1,0))+1,0))</f>
        <v>#N/A</v>
      </c>
      <c r="M145" s="84" t="e" cm="1">
        <f t="array" ref="M145">_xlfn.IFS(L145="","",L145&lt;='Base de dados'!$K$2,'Base de dados'!$K$1,L145&lt;='Base de dados'!$L$3,'Base de dados'!$L$1,L145&lt;='Base de dados'!$M$3,'Base de dados'!$M$1,L145&gt;='Base de dados'!$N$2,'Base de dados'!$N$1)</f>
        <v>#N/A</v>
      </c>
      <c r="N145" s="84"/>
      <c r="O145" s="84"/>
    </row>
    <row r="146" spans="1:15" s="85" customFormat="1" x14ac:dyDescent="0.25">
      <c r="A146" s="47"/>
      <c r="B146" s="47"/>
      <c r="C146" s="47"/>
      <c r="D146" s="47"/>
      <c r="E146" s="47"/>
      <c r="F146" s="47"/>
      <c r="G146" s="47"/>
      <c r="H146" s="86" t="s">
        <v>151</v>
      </c>
      <c r="I146" s="86" t="str">
        <f>IF(VLOOKUP('Gráficos Semanais'!$H146,AVES!$G$1:$DF$311,(MATCH('Gráficos Semanais'!$D$12,AVES!$H$1:$DF$1,0))+1,0)="","",VLOOKUP('Gráficos Semanais'!$H146,AVES!$G$1:$DF$311,(MATCH('Gráficos Semanais'!$D$12,AVES!$H$1:$DF$1,0))+1,0))</f>
        <v/>
      </c>
      <c r="J146" s="84"/>
      <c r="K146" s="84" t="s">
        <v>674</v>
      </c>
      <c r="L146" s="84" t="e">
        <f>IF(VLOOKUP('Gráficos Semanais'!$K146,' OVOS'!$G$1:$DF$311,(MATCH('Gráficos Semanais'!$D$12,' OVOS'!$H$1:$DF$1,0))+1,0)="","",VLOOKUP('Gráficos Semanais'!$K146,' OVOS'!$G$1:$DF$311,(MATCH('Gráficos Semanais'!$D$12,' OVOS'!$H$1:$DF$1,0))+1,0))</f>
        <v>#N/A</v>
      </c>
      <c r="M146" s="84" t="e" cm="1">
        <f t="array" ref="M146">_xlfn.IFS(L146="","",L146&lt;='Base de dados'!$K$2,'Base de dados'!$K$1,L146&lt;='Base de dados'!$L$3,'Base de dados'!$L$1,L146&lt;='Base de dados'!$M$3,'Base de dados'!$M$1,L146&gt;='Base de dados'!$N$2,'Base de dados'!$N$1)</f>
        <v>#N/A</v>
      </c>
      <c r="N146" s="84"/>
      <c r="O146" s="84"/>
    </row>
    <row r="147" spans="1:15" s="85" customFormat="1" x14ac:dyDescent="0.25">
      <c r="A147" s="47"/>
      <c r="B147" s="47"/>
      <c r="C147" s="47"/>
      <c r="D147" s="47"/>
      <c r="E147" s="47"/>
      <c r="F147" s="47"/>
      <c r="G147" s="47"/>
      <c r="H147" s="86" t="s">
        <v>152</v>
      </c>
      <c r="I147" s="86" t="str">
        <f>IF(VLOOKUP('Gráficos Semanais'!$H147,AVES!$G$1:$DF$311,(MATCH('Gráficos Semanais'!$D$12,AVES!$H$1:$DF$1,0))+1,0)="","",VLOOKUP('Gráficos Semanais'!$H147,AVES!$G$1:$DF$311,(MATCH('Gráficos Semanais'!$D$12,AVES!$H$1:$DF$1,0))+1,0))</f>
        <v/>
      </c>
      <c r="J147" s="84"/>
      <c r="K147" s="84" t="s">
        <v>675</v>
      </c>
      <c r="L147" s="84" t="e">
        <f>IF(VLOOKUP('Gráficos Semanais'!$K147,' OVOS'!$G$1:$DF$311,(MATCH('Gráficos Semanais'!$D$12,' OVOS'!$H$1:$DF$1,0))+1,0)="","",VLOOKUP('Gráficos Semanais'!$K147,' OVOS'!$G$1:$DF$311,(MATCH('Gráficos Semanais'!$D$12,' OVOS'!$H$1:$DF$1,0))+1,0))</f>
        <v>#N/A</v>
      </c>
      <c r="M147" s="84" t="e" cm="1">
        <f t="array" ref="M147">_xlfn.IFS(L147="","",L147&lt;='Base de dados'!$K$2,'Base de dados'!$K$1,L147&lt;='Base de dados'!$L$3,'Base de dados'!$L$1,L147&lt;='Base de dados'!$M$3,'Base de dados'!$M$1,L147&gt;='Base de dados'!$N$2,'Base de dados'!$N$1)</f>
        <v>#N/A</v>
      </c>
      <c r="N147" s="84"/>
      <c r="O147" s="84"/>
    </row>
    <row r="148" spans="1:15" s="85" customFormat="1" x14ac:dyDescent="0.25">
      <c r="A148" s="47"/>
      <c r="B148" s="47"/>
      <c r="C148" s="47"/>
      <c r="D148" s="47"/>
      <c r="E148" s="47"/>
      <c r="F148" s="47"/>
      <c r="G148" s="47"/>
      <c r="H148" s="86" t="s">
        <v>153</v>
      </c>
      <c r="I148" s="86" t="str">
        <f>IF(VLOOKUP('Gráficos Semanais'!$H148,AVES!$G$1:$DF$311,(MATCH('Gráficos Semanais'!$D$12,AVES!$H$1:$DF$1,0))+1,0)="","",VLOOKUP('Gráficos Semanais'!$H148,AVES!$G$1:$DF$311,(MATCH('Gráficos Semanais'!$D$12,AVES!$H$1:$DF$1,0))+1,0))</f>
        <v/>
      </c>
      <c r="J148" s="84"/>
      <c r="K148" s="84" t="s">
        <v>676</v>
      </c>
      <c r="L148" s="84" t="e">
        <f>IF(VLOOKUP('Gráficos Semanais'!$K148,' OVOS'!$G$1:$DF$311,(MATCH('Gráficos Semanais'!$D$12,' OVOS'!$H$1:$DF$1,0))+1,0)="","",VLOOKUP('Gráficos Semanais'!$K148,' OVOS'!$G$1:$DF$311,(MATCH('Gráficos Semanais'!$D$12,' OVOS'!$H$1:$DF$1,0))+1,0))</f>
        <v>#N/A</v>
      </c>
      <c r="M148" s="84" t="e" cm="1">
        <f t="array" ref="M148">_xlfn.IFS(L148="","",L148&lt;='Base de dados'!$K$2,'Base de dados'!$K$1,L148&lt;='Base de dados'!$L$3,'Base de dados'!$L$1,L148&lt;='Base de dados'!$M$3,'Base de dados'!$M$1,L148&gt;='Base de dados'!$N$2,'Base de dados'!$N$1)</f>
        <v>#N/A</v>
      </c>
      <c r="N148" s="84"/>
      <c r="O148" s="84"/>
    </row>
    <row r="149" spans="1:15" s="85" customFormat="1" x14ac:dyDescent="0.25">
      <c r="A149" s="47"/>
      <c r="B149" s="47"/>
      <c r="C149" s="47"/>
      <c r="D149" s="47"/>
      <c r="E149" s="47"/>
      <c r="F149" s="47"/>
      <c r="G149" s="47"/>
      <c r="H149" s="86" t="s">
        <v>154</v>
      </c>
      <c r="I149" s="86" t="str">
        <f>IF(VLOOKUP('Gráficos Semanais'!$H149,AVES!$G$1:$DF$311,(MATCH('Gráficos Semanais'!$D$12,AVES!$H$1:$DF$1,0))+1,0)="","",VLOOKUP('Gráficos Semanais'!$H149,AVES!$G$1:$DF$311,(MATCH('Gráficos Semanais'!$D$12,AVES!$H$1:$DF$1,0))+1,0))</f>
        <v/>
      </c>
      <c r="J149" s="84"/>
      <c r="K149" s="84" t="s">
        <v>677</v>
      </c>
      <c r="L149" s="84" t="e">
        <f>IF(VLOOKUP('Gráficos Semanais'!$K149,' OVOS'!$G$1:$DF$311,(MATCH('Gráficos Semanais'!$D$12,' OVOS'!$H$1:$DF$1,0))+1,0)="","",VLOOKUP('Gráficos Semanais'!$K149,' OVOS'!$G$1:$DF$311,(MATCH('Gráficos Semanais'!$D$12,' OVOS'!$H$1:$DF$1,0))+1,0))</f>
        <v>#N/A</v>
      </c>
      <c r="M149" s="84" t="e" cm="1">
        <f t="array" ref="M149">_xlfn.IFS(L149="","",L149&lt;='Base de dados'!$K$2,'Base de dados'!$K$1,L149&lt;='Base de dados'!$L$3,'Base de dados'!$L$1,L149&lt;='Base de dados'!$M$3,'Base de dados'!$M$1,L149&gt;='Base de dados'!$N$2,'Base de dados'!$N$1)</f>
        <v>#N/A</v>
      </c>
      <c r="N149" s="84"/>
      <c r="O149" s="84"/>
    </row>
    <row r="150" spans="1:15" s="85" customFormat="1" x14ac:dyDescent="0.25">
      <c r="A150" s="47"/>
      <c r="B150" s="47"/>
      <c r="C150" s="47"/>
      <c r="D150" s="47"/>
      <c r="E150" s="47"/>
      <c r="F150" s="47"/>
      <c r="G150" s="47"/>
      <c r="H150" s="86" t="s">
        <v>155</v>
      </c>
      <c r="I150" s="86" t="str">
        <f>IF(VLOOKUP('Gráficos Semanais'!$H150,AVES!$G$1:$DF$311,(MATCH('Gráficos Semanais'!$D$12,AVES!$H$1:$DF$1,0))+1,0)="","",VLOOKUP('Gráficos Semanais'!$H150,AVES!$G$1:$DF$311,(MATCH('Gráficos Semanais'!$D$12,AVES!$H$1:$DF$1,0))+1,0))</f>
        <v/>
      </c>
      <c r="J150" s="84"/>
      <c r="K150" s="84" t="s">
        <v>678</v>
      </c>
      <c r="L150" s="84" t="e">
        <f>IF(VLOOKUP('Gráficos Semanais'!$K150,' OVOS'!$G$1:$DF$311,(MATCH('Gráficos Semanais'!$D$12,' OVOS'!$H$1:$DF$1,0))+1,0)="","",VLOOKUP('Gráficos Semanais'!$K150,' OVOS'!$G$1:$DF$311,(MATCH('Gráficos Semanais'!$D$12,' OVOS'!$H$1:$DF$1,0))+1,0))</f>
        <v>#N/A</v>
      </c>
      <c r="M150" s="84" t="e" cm="1">
        <f t="array" ref="M150">_xlfn.IFS(L150="","",L150&lt;='Base de dados'!$K$2,'Base de dados'!$K$1,L150&lt;='Base de dados'!$L$3,'Base de dados'!$L$1,L150&lt;='Base de dados'!$M$3,'Base de dados'!$M$1,L150&gt;='Base de dados'!$N$2,'Base de dados'!$N$1)</f>
        <v>#N/A</v>
      </c>
      <c r="N150" s="84"/>
      <c r="O150" s="84"/>
    </row>
    <row r="151" spans="1:15" s="85" customFormat="1" x14ac:dyDescent="0.25">
      <c r="A151" s="47"/>
      <c r="B151" s="47"/>
      <c r="C151" s="47"/>
      <c r="D151" s="47"/>
      <c r="E151" s="47"/>
      <c r="F151" s="47"/>
      <c r="G151" s="47"/>
      <c r="H151" s="86" t="s">
        <v>156</v>
      </c>
      <c r="I151" s="86" t="str">
        <f>IF(VLOOKUP('Gráficos Semanais'!$H151,AVES!$G$1:$DF$311,(MATCH('Gráficos Semanais'!$D$12,AVES!$H$1:$DF$1,0))+1,0)="","",VLOOKUP('Gráficos Semanais'!$H151,AVES!$G$1:$DF$311,(MATCH('Gráficos Semanais'!$D$12,AVES!$H$1:$DF$1,0))+1,0))</f>
        <v/>
      </c>
      <c r="J151" s="84"/>
      <c r="K151" s="84" t="s">
        <v>679</v>
      </c>
      <c r="L151" s="84" t="e">
        <f>IF(VLOOKUP('Gráficos Semanais'!$K151,' OVOS'!$G$1:$DF$311,(MATCH('Gráficos Semanais'!$D$12,' OVOS'!$H$1:$DF$1,0))+1,0)="","",VLOOKUP('Gráficos Semanais'!$K151,' OVOS'!$G$1:$DF$311,(MATCH('Gráficos Semanais'!$D$12,' OVOS'!$H$1:$DF$1,0))+1,0))</f>
        <v>#N/A</v>
      </c>
      <c r="M151" s="84" t="e" cm="1">
        <f t="array" ref="M151">_xlfn.IFS(L151="","",L151&lt;='Base de dados'!$K$2,'Base de dados'!$K$1,L151&lt;='Base de dados'!$L$3,'Base de dados'!$L$1,L151&lt;='Base de dados'!$M$3,'Base de dados'!$M$1,L151&gt;='Base de dados'!$N$2,'Base de dados'!$N$1)</f>
        <v>#N/A</v>
      </c>
      <c r="N151" s="84"/>
      <c r="O151" s="84"/>
    </row>
    <row r="152" spans="1:15" s="85" customFormat="1" x14ac:dyDescent="0.25">
      <c r="A152" s="47"/>
      <c r="B152" s="47"/>
      <c r="C152" s="47"/>
      <c r="D152" s="47"/>
      <c r="E152" s="47"/>
      <c r="F152" s="47"/>
      <c r="G152" s="47"/>
      <c r="H152" s="86" t="s">
        <v>157</v>
      </c>
      <c r="I152" s="86" t="str">
        <f>IF(VLOOKUP('Gráficos Semanais'!$H152,AVES!$G$1:$DF$311,(MATCH('Gráficos Semanais'!$D$12,AVES!$H$1:$DF$1,0))+1,0)="","",VLOOKUP('Gráficos Semanais'!$H152,AVES!$G$1:$DF$311,(MATCH('Gráficos Semanais'!$D$12,AVES!$H$1:$DF$1,0))+1,0))</f>
        <v/>
      </c>
      <c r="J152" s="84"/>
      <c r="K152" s="84" t="s">
        <v>680</v>
      </c>
      <c r="L152" s="84" t="e">
        <f>IF(VLOOKUP('Gráficos Semanais'!$K152,' OVOS'!$G$1:$DF$311,(MATCH('Gráficos Semanais'!$D$12,' OVOS'!$H$1:$DF$1,0))+1,0)="","",VLOOKUP('Gráficos Semanais'!$K152,' OVOS'!$G$1:$DF$311,(MATCH('Gráficos Semanais'!$D$12,' OVOS'!$H$1:$DF$1,0))+1,0))</f>
        <v>#N/A</v>
      </c>
      <c r="M152" s="84" t="e" cm="1">
        <f t="array" ref="M152">_xlfn.IFS(L152="","",L152&lt;='Base de dados'!$K$2,'Base de dados'!$K$1,L152&lt;='Base de dados'!$L$3,'Base de dados'!$L$1,L152&lt;='Base de dados'!$M$3,'Base de dados'!$M$1,L152&gt;='Base de dados'!$N$2,'Base de dados'!$N$1)</f>
        <v>#N/A</v>
      </c>
      <c r="N152" s="84"/>
      <c r="O152" s="84"/>
    </row>
    <row r="153" spans="1:15" s="85" customFormat="1" x14ac:dyDescent="0.25">
      <c r="A153" s="47"/>
      <c r="B153" s="47"/>
      <c r="C153" s="47"/>
      <c r="D153" s="47"/>
      <c r="E153" s="47"/>
      <c r="F153" s="47"/>
      <c r="G153" s="47"/>
      <c r="H153" s="86" t="s">
        <v>158</v>
      </c>
      <c r="I153" s="86" t="str">
        <f>IF(VLOOKUP('Gráficos Semanais'!$H153,AVES!$G$1:$DF$311,(MATCH('Gráficos Semanais'!$D$12,AVES!$H$1:$DF$1,0))+1,0)="","",VLOOKUP('Gráficos Semanais'!$H153,AVES!$G$1:$DF$311,(MATCH('Gráficos Semanais'!$D$12,AVES!$H$1:$DF$1,0))+1,0))</f>
        <v/>
      </c>
      <c r="J153" s="84"/>
      <c r="K153" s="84" t="s">
        <v>681</v>
      </c>
      <c r="L153" s="84" t="e">
        <f>IF(VLOOKUP('Gráficos Semanais'!$K153,' OVOS'!$G$1:$DF$311,(MATCH('Gráficos Semanais'!$D$12,' OVOS'!$H$1:$DF$1,0))+1,0)="","",VLOOKUP('Gráficos Semanais'!$K153,' OVOS'!$G$1:$DF$311,(MATCH('Gráficos Semanais'!$D$12,' OVOS'!$H$1:$DF$1,0))+1,0))</f>
        <v>#N/A</v>
      </c>
      <c r="M153" s="84" t="e" cm="1">
        <f t="array" ref="M153">_xlfn.IFS(L153="","",L153&lt;='Base de dados'!$K$2,'Base de dados'!$K$1,L153&lt;='Base de dados'!$L$3,'Base de dados'!$L$1,L153&lt;='Base de dados'!$M$3,'Base de dados'!$M$1,L153&gt;='Base de dados'!$N$2,'Base de dados'!$N$1)</f>
        <v>#N/A</v>
      </c>
      <c r="N153" s="84"/>
      <c r="O153" s="84"/>
    </row>
    <row r="154" spans="1:15" s="85" customFormat="1" x14ac:dyDescent="0.25">
      <c r="A154" s="47"/>
      <c r="B154" s="47"/>
      <c r="C154" s="47"/>
      <c r="D154" s="47"/>
      <c r="E154" s="47"/>
      <c r="F154" s="47"/>
      <c r="G154" s="47"/>
      <c r="H154" s="86" t="s">
        <v>159</v>
      </c>
      <c r="I154" s="86" t="str">
        <f>IF(VLOOKUP('Gráficos Semanais'!$H154,AVES!$G$1:$DF$311,(MATCH('Gráficos Semanais'!$D$12,AVES!$H$1:$DF$1,0))+1,0)="","",VLOOKUP('Gráficos Semanais'!$H154,AVES!$G$1:$DF$311,(MATCH('Gráficos Semanais'!$D$12,AVES!$H$1:$DF$1,0))+1,0))</f>
        <v/>
      </c>
      <c r="J154" s="84"/>
      <c r="K154" s="84" t="s">
        <v>682</v>
      </c>
      <c r="L154" s="84" t="e">
        <f>IF(VLOOKUP('Gráficos Semanais'!$K154,' OVOS'!$G$1:$DF$311,(MATCH('Gráficos Semanais'!$D$12,' OVOS'!$H$1:$DF$1,0))+1,0)="","",VLOOKUP('Gráficos Semanais'!$K154,' OVOS'!$G$1:$DF$311,(MATCH('Gráficos Semanais'!$D$12,' OVOS'!$H$1:$DF$1,0))+1,0))</f>
        <v>#N/A</v>
      </c>
      <c r="M154" s="84" t="e" cm="1">
        <f t="array" ref="M154">_xlfn.IFS(L154="","",L154&lt;='Base de dados'!$K$2,'Base de dados'!$K$1,L154&lt;='Base de dados'!$L$3,'Base de dados'!$L$1,L154&lt;='Base de dados'!$M$3,'Base de dados'!$M$1,L154&gt;='Base de dados'!$N$2,'Base de dados'!$N$1)</f>
        <v>#N/A</v>
      </c>
      <c r="N154" s="84"/>
      <c r="O154" s="84"/>
    </row>
    <row r="155" spans="1:15" s="85" customFormat="1" x14ac:dyDescent="0.25">
      <c r="A155" s="47"/>
      <c r="B155" s="47"/>
      <c r="C155" s="47"/>
      <c r="D155" s="47"/>
      <c r="E155" s="47"/>
      <c r="F155" s="47"/>
      <c r="G155" s="47"/>
      <c r="H155" s="86" t="s">
        <v>160</v>
      </c>
      <c r="I155" s="86" t="str">
        <f>IF(VLOOKUP('Gráficos Semanais'!$H155,AVES!$G$1:$DF$311,(MATCH('Gráficos Semanais'!$D$12,AVES!$H$1:$DF$1,0))+1,0)="","",VLOOKUP('Gráficos Semanais'!$H155,AVES!$G$1:$DF$311,(MATCH('Gráficos Semanais'!$D$12,AVES!$H$1:$DF$1,0))+1,0))</f>
        <v/>
      </c>
      <c r="J155" s="84"/>
      <c r="K155" s="84" t="s">
        <v>683</v>
      </c>
      <c r="L155" s="84" t="e">
        <f>IF(VLOOKUP('Gráficos Semanais'!$K155,' OVOS'!$G$1:$DF$311,(MATCH('Gráficos Semanais'!$D$12,' OVOS'!$H$1:$DF$1,0))+1,0)="","",VLOOKUP('Gráficos Semanais'!$K155,' OVOS'!$G$1:$DF$311,(MATCH('Gráficos Semanais'!$D$12,' OVOS'!$H$1:$DF$1,0))+1,0))</f>
        <v>#N/A</v>
      </c>
      <c r="M155" s="84" t="e" cm="1">
        <f t="array" ref="M155">_xlfn.IFS(L155="","",L155&lt;='Base de dados'!$K$2,'Base de dados'!$K$1,L155&lt;='Base de dados'!$L$3,'Base de dados'!$L$1,L155&lt;='Base de dados'!$M$3,'Base de dados'!$M$1,L155&gt;='Base de dados'!$N$2,'Base de dados'!$N$1)</f>
        <v>#N/A</v>
      </c>
      <c r="N155" s="84"/>
      <c r="O155" s="84"/>
    </row>
    <row r="156" spans="1:15" s="85" customFormat="1" x14ac:dyDescent="0.25">
      <c r="A156" s="47"/>
      <c r="B156" s="47"/>
      <c r="C156" s="47"/>
      <c r="D156" s="47"/>
      <c r="E156" s="47"/>
      <c r="F156" s="47"/>
      <c r="G156" s="47"/>
      <c r="H156" s="86" t="s">
        <v>161</v>
      </c>
      <c r="I156" s="86" t="str">
        <f>IF(VLOOKUP('Gráficos Semanais'!$H156,AVES!$G$1:$DF$311,(MATCH('Gráficos Semanais'!$D$12,AVES!$H$1:$DF$1,0))+1,0)="","",VLOOKUP('Gráficos Semanais'!$H156,AVES!$G$1:$DF$311,(MATCH('Gráficos Semanais'!$D$12,AVES!$H$1:$DF$1,0))+1,0))</f>
        <v/>
      </c>
      <c r="J156" s="84"/>
      <c r="K156" s="84" t="s">
        <v>684</v>
      </c>
      <c r="L156" s="84" t="e">
        <f>IF(VLOOKUP('Gráficos Semanais'!$K156,' OVOS'!$G$1:$DF$311,(MATCH('Gráficos Semanais'!$D$12,' OVOS'!$H$1:$DF$1,0))+1,0)="","",VLOOKUP('Gráficos Semanais'!$K156,' OVOS'!$G$1:$DF$311,(MATCH('Gráficos Semanais'!$D$12,' OVOS'!$H$1:$DF$1,0))+1,0))</f>
        <v>#N/A</v>
      </c>
      <c r="M156" s="84" t="e" cm="1">
        <f t="array" ref="M156">_xlfn.IFS(L156="","",L156&lt;='Base de dados'!$K$2,'Base de dados'!$K$1,L156&lt;='Base de dados'!$L$3,'Base de dados'!$L$1,L156&lt;='Base de dados'!$M$3,'Base de dados'!$M$1,L156&gt;='Base de dados'!$N$2,'Base de dados'!$N$1)</f>
        <v>#N/A</v>
      </c>
      <c r="N156" s="84"/>
      <c r="O156" s="84"/>
    </row>
    <row r="157" spans="1:15" s="85" customFormat="1" x14ac:dyDescent="0.25">
      <c r="A157" s="47"/>
      <c r="B157" s="47"/>
      <c r="C157" s="47"/>
      <c r="D157" s="47"/>
      <c r="E157" s="47"/>
      <c r="F157" s="47"/>
      <c r="G157" s="47"/>
      <c r="H157" s="86" t="s">
        <v>162</v>
      </c>
      <c r="I157" s="86" t="str">
        <f>IF(VLOOKUP('Gráficos Semanais'!$H157,AVES!$G$1:$DF$311,(MATCH('Gráficos Semanais'!$D$12,AVES!$H$1:$DF$1,0))+1,0)="","",VLOOKUP('Gráficos Semanais'!$H157,AVES!$G$1:$DF$311,(MATCH('Gráficos Semanais'!$D$12,AVES!$H$1:$DF$1,0))+1,0))</f>
        <v/>
      </c>
      <c r="J157" s="84"/>
      <c r="K157" s="84" t="s">
        <v>685</v>
      </c>
      <c r="L157" s="84" t="e">
        <f>IF(VLOOKUP('Gráficos Semanais'!$K157,' OVOS'!$G$1:$DF$311,(MATCH('Gráficos Semanais'!$D$12,' OVOS'!$H$1:$DF$1,0))+1,0)="","",VLOOKUP('Gráficos Semanais'!$K157,' OVOS'!$G$1:$DF$311,(MATCH('Gráficos Semanais'!$D$12,' OVOS'!$H$1:$DF$1,0))+1,0))</f>
        <v>#N/A</v>
      </c>
      <c r="M157" s="84" t="e" cm="1">
        <f t="array" ref="M157">_xlfn.IFS(L157="","",L157&lt;='Base de dados'!$K$2,'Base de dados'!$K$1,L157&lt;='Base de dados'!$L$3,'Base de dados'!$L$1,L157&lt;='Base de dados'!$M$3,'Base de dados'!$M$1,L157&gt;='Base de dados'!$N$2,'Base de dados'!$N$1)</f>
        <v>#N/A</v>
      </c>
      <c r="N157" s="84"/>
      <c r="O157" s="84"/>
    </row>
    <row r="158" spans="1:15" s="85" customFormat="1" x14ac:dyDescent="0.25">
      <c r="A158" s="47"/>
      <c r="B158" s="47"/>
      <c r="C158" s="47"/>
      <c r="D158" s="47"/>
      <c r="E158" s="47"/>
      <c r="F158" s="47"/>
      <c r="G158" s="47"/>
      <c r="H158" s="86" t="s">
        <v>163</v>
      </c>
      <c r="I158" s="86" t="str">
        <f>IF(VLOOKUP('Gráficos Semanais'!$H158,AVES!$G$1:$DF$311,(MATCH('Gráficos Semanais'!$D$12,AVES!$H$1:$DF$1,0))+1,0)="","",VLOOKUP('Gráficos Semanais'!$H158,AVES!$G$1:$DF$311,(MATCH('Gráficos Semanais'!$D$12,AVES!$H$1:$DF$1,0))+1,0))</f>
        <v/>
      </c>
      <c r="J158" s="84"/>
      <c r="K158" s="84" t="s">
        <v>686</v>
      </c>
      <c r="L158" s="84" t="e">
        <f>IF(VLOOKUP('Gráficos Semanais'!$K158,' OVOS'!$G$1:$DF$311,(MATCH('Gráficos Semanais'!$D$12,' OVOS'!$H$1:$DF$1,0))+1,0)="","",VLOOKUP('Gráficos Semanais'!$K158,' OVOS'!$G$1:$DF$311,(MATCH('Gráficos Semanais'!$D$12,' OVOS'!$H$1:$DF$1,0))+1,0))</f>
        <v>#N/A</v>
      </c>
      <c r="M158" s="84" t="e" cm="1">
        <f t="array" ref="M158">_xlfn.IFS(L158="","",L158&lt;='Base de dados'!$K$2,'Base de dados'!$K$1,L158&lt;='Base de dados'!$L$3,'Base de dados'!$L$1,L158&lt;='Base de dados'!$M$3,'Base de dados'!$M$1,L158&gt;='Base de dados'!$N$2,'Base de dados'!$N$1)</f>
        <v>#N/A</v>
      </c>
      <c r="N158" s="84"/>
      <c r="O158" s="84"/>
    </row>
    <row r="159" spans="1:15" s="85" customFormat="1" x14ac:dyDescent="0.25">
      <c r="A159" s="47"/>
      <c r="B159" s="47"/>
      <c r="C159" s="47"/>
      <c r="D159" s="47"/>
      <c r="E159" s="47"/>
      <c r="F159" s="47"/>
      <c r="G159" s="47"/>
      <c r="H159" s="86" t="s">
        <v>164</v>
      </c>
      <c r="I159" s="86" t="str">
        <f>IF(VLOOKUP('Gráficos Semanais'!$H159,AVES!$G$1:$DF$311,(MATCH('Gráficos Semanais'!$D$12,AVES!$H$1:$DF$1,0))+1,0)="","",VLOOKUP('Gráficos Semanais'!$H159,AVES!$G$1:$DF$311,(MATCH('Gráficos Semanais'!$D$12,AVES!$H$1:$DF$1,0))+1,0))</f>
        <v/>
      </c>
      <c r="J159" s="84"/>
      <c r="K159" s="84" t="s">
        <v>687</v>
      </c>
      <c r="L159" s="84" t="e">
        <f>IF(VLOOKUP('Gráficos Semanais'!$K159,' OVOS'!$G$1:$DF$311,(MATCH('Gráficos Semanais'!$D$12,' OVOS'!$H$1:$DF$1,0))+1,0)="","",VLOOKUP('Gráficos Semanais'!$K159,' OVOS'!$G$1:$DF$311,(MATCH('Gráficos Semanais'!$D$12,' OVOS'!$H$1:$DF$1,0))+1,0))</f>
        <v>#N/A</v>
      </c>
      <c r="M159" s="84" t="e" cm="1">
        <f t="array" ref="M159">_xlfn.IFS(L159="","",L159&lt;='Base de dados'!$K$2,'Base de dados'!$K$1,L159&lt;='Base de dados'!$L$3,'Base de dados'!$L$1,L159&lt;='Base de dados'!$M$3,'Base de dados'!$M$1,L159&gt;='Base de dados'!$N$2,'Base de dados'!$N$1)</f>
        <v>#N/A</v>
      </c>
      <c r="N159" s="84"/>
      <c r="O159" s="84"/>
    </row>
    <row r="160" spans="1:15" s="85" customFormat="1" x14ac:dyDescent="0.25">
      <c r="A160" s="47"/>
      <c r="B160" s="47"/>
      <c r="C160" s="47"/>
      <c r="D160" s="47"/>
      <c r="E160" s="47"/>
      <c r="F160" s="47"/>
      <c r="G160" s="47"/>
      <c r="H160" s="86" t="s">
        <v>165</v>
      </c>
      <c r="I160" s="86" t="str">
        <f>IF(VLOOKUP('Gráficos Semanais'!$H160,AVES!$G$1:$DF$311,(MATCH('Gráficos Semanais'!$D$12,AVES!$H$1:$DF$1,0))+1,0)="","",VLOOKUP('Gráficos Semanais'!$H160,AVES!$G$1:$DF$311,(MATCH('Gráficos Semanais'!$D$12,AVES!$H$1:$DF$1,0))+1,0))</f>
        <v/>
      </c>
      <c r="J160" s="84"/>
      <c r="K160" s="84" t="s">
        <v>688</v>
      </c>
      <c r="L160" s="84" t="e">
        <f>IF(VLOOKUP('Gráficos Semanais'!$K160,' OVOS'!$G$1:$DF$311,(MATCH('Gráficos Semanais'!$D$12,' OVOS'!$H$1:$DF$1,0))+1,0)="","",VLOOKUP('Gráficos Semanais'!$K160,' OVOS'!$G$1:$DF$311,(MATCH('Gráficos Semanais'!$D$12,' OVOS'!$H$1:$DF$1,0))+1,0))</f>
        <v>#N/A</v>
      </c>
      <c r="M160" s="84" t="e" cm="1">
        <f t="array" ref="M160">_xlfn.IFS(L160="","",L160&lt;='Base de dados'!$K$2,'Base de dados'!$K$1,L160&lt;='Base de dados'!$L$3,'Base de dados'!$L$1,L160&lt;='Base de dados'!$M$3,'Base de dados'!$M$1,L160&gt;='Base de dados'!$N$2,'Base de dados'!$N$1)</f>
        <v>#N/A</v>
      </c>
      <c r="N160" s="84"/>
      <c r="O160" s="84"/>
    </row>
    <row r="161" spans="1:15" s="85" customFormat="1" x14ac:dyDescent="0.25">
      <c r="A161" s="47"/>
      <c r="B161" s="47"/>
      <c r="C161" s="47"/>
      <c r="D161" s="47"/>
      <c r="E161" s="47"/>
      <c r="F161" s="47"/>
      <c r="G161" s="47"/>
      <c r="H161" s="86" t="s">
        <v>166</v>
      </c>
      <c r="I161" s="86" t="str">
        <f>IF(VLOOKUP('Gráficos Semanais'!$H161,AVES!$G$1:$DF$311,(MATCH('Gráficos Semanais'!$D$12,AVES!$H$1:$DF$1,0))+1,0)="","",VLOOKUP('Gráficos Semanais'!$H161,AVES!$G$1:$DF$311,(MATCH('Gráficos Semanais'!$D$12,AVES!$H$1:$DF$1,0))+1,0))</f>
        <v/>
      </c>
      <c r="J161" s="84"/>
      <c r="K161" s="84" t="s">
        <v>689</v>
      </c>
      <c r="L161" s="84" t="e">
        <f>IF(VLOOKUP('Gráficos Semanais'!$K161,' OVOS'!$G$1:$DF$311,(MATCH('Gráficos Semanais'!$D$12,' OVOS'!$H$1:$DF$1,0))+1,0)="","",VLOOKUP('Gráficos Semanais'!$K161,' OVOS'!$G$1:$DF$311,(MATCH('Gráficos Semanais'!$D$12,' OVOS'!$H$1:$DF$1,0))+1,0))</f>
        <v>#N/A</v>
      </c>
      <c r="M161" s="84" t="e" cm="1">
        <f t="array" ref="M161">_xlfn.IFS(L161="","",L161&lt;='Base de dados'!$K$2,'Base de dados'!$K$1,L161&lt;='Base de dados'!$L$3,'Base de dados'!$L$1,L161&lt;='Base de dados'!$M$3,'Base de dados'!$M$1,L161&gt;='Base de dados'!$N$2,'Base de dados'!$N$1)</f>
        <v>#N/A</v>
      </c>
      <c r="N161" s="84"/>
      <c r="O161" s="84"/>
    </row>
    <row r="162" spans="1:15" s="85" customFormat="1" x14ac:dyDescent="0.25">
      <c r="A162" s="47"/>
      <c r="B162" s="47"/>
      <c r="C162" s="47"/>
      <c r="D162" s="47"/>
      <c r="E162" s="47"/>
      <c r="F162" s="47"/>
      <c r="G162" s="47"/>
      <c r="H162" s="86" t="s">
        <v>167</v>
      </c>
      <c r="I162" s="86" t="str">
        <f>IF(VLOOKUP('Gráficos Semanais'!$H162,AVES!$G$1:$DF$311,(MATCH('Gráficos Semanais'!$D$12,AVES!$H$1:$DF$1,0))+1,0)="","",VLOOKUP('Gráficos Semanais'!$H162,AVES!$G$1:$DF$311,(MATCH('Gráficos Semanais'!$D$12,AVES!$H$1:$DF$1,0))+1,0))</f>
        <v/>
      </c>
      <c r="J162" s="84"/>
      <c r="K162" s="84" t="s">
        <v>690</v>
      </c>
      <c r="L162" s="84" t="e">
        <f>IF(VLOOKUP('Gráficos Semanais'!$K162,' OVOS'!$G$1:$DF$311,(MATCH('Gráficos Semanais'!$D$12,' OVOS'!$H$1:$DF$1,0))+1,0)="","",VLOOKUP('Gráficos Semanais'!$K162,' OVOS'!$G$1:$DF$311,(MATCH('Gráficos Semanais'!$D$12,' OVOS'!$H$1:$DF$1,0))+1,0))</f>
        <v>#N/A</v>
      </c>
      <c r="M162" s="84" t="e" cm="1">
        <f t="array" ref="M162">_xlfn.IFS(L162="","",L162&lt;='Base de dados'!$K$2,'Base de dados'!$K$1,L162&lt;='Base de dados'!$L$3,'Base de dados'!$L$1,L162&lt;='Base de dados'!$M$3,'Base de dados'!$M$1,L162&gt;='Base de dados'!$N$2,'Base de dados'!$N$1)</f>
        <v>#N/A</v>
      </c>
      <c r="N162" s="84"/>
      <c r="O162" s="84"/>
    </row>
    <row r="163" spans="1:15" s="85" customFormat="1" x14ac:dyDescent="0.25">
      <c r="A163" s="47"/>
      <c r="B163" s="47"/>
      <c r="C163" s="47"/>
      <c r="D163" s="47"/>
      <c r="E163" s="47"/>
      <c r="F163" s="47"/>
      <c r="G163" s="47"/>
      <c r="H163" s="86" t="s">
        <v>168</v>
      </c>
      <c r="I163" s="86" t="str">
        <f>IF(VLOOKUP('Gráficos Semanais'!$H163,AVES!$G$1:$DF$311,(MATCH('Gráficos Semanais'!$D$12,AVES!$H$1:$DF$1,0))+1,0)="","",VLOOKUP('Gráficos Semanais'!$H163,AVES!$G$1:$DF$311,(MATCH('Gráficos Semanais'!$D$12,AVES!$H$1:$DF$1,0))+1,0))</f>
        <v/>
      </c>
      <c r="J163" s="84"/>
      <c r="K163" s="84" t="s">
        <v>691</v>
      </c>
      <c r="L163" s="84" t="e">
        <f>IF(VLOOKUP('Gráficos Semanais'!$K163,' OVOS'!$G$1:$DF$311,(MATCH('Gráficos Semanais'!$D$12,' OVOS'!$H$1:$DF$1,0))+1,0)="","",VLOOKUP('Gráficos Semanais'!$K163,' OVOS'!$G$1:$DF$311,(MATCH('Gráficos Semanais'!$D$12,' OVOS'!$H$1:$DF$1,0))+1,0))</f>
        <v>#N/A</v>
      </c>
      <c r="M163" s="84" t="e" cm="1">
        <f t="array" ref="M163">_xlfn.IFS(L163="","",L163&lt;='Base de dados'!$K$2,'Base de dados'!$K$1,L163&lt;='Base de dados'!$L$3,'Base de dados'!$L$1,L163&lt;='Base de dados'!$M$3,'Base de dados'!$M$1,L163&gt;='Base de dados'!$N$2,'Base de dados'!$N$1)</f>
        <v>#N/A</v>
      </c>
      <c r="N163" s="84"/>
      <c r="O163" s="84"/>
    </row>
    <row r="164" spans="1:15" s="85" customFormat="1" x14ac:dyDescent="0.25">
      <c r="A164" s="47"/>
      <c r="B164" s="47"/>
      <c r="C164" s="47"/>
      <c r="D164" s="47"/>
      <c r="E164" s="47"/>
      <c r="F164" s="47"/>
      <c r="G164" s="47"/>
      <c r="H164" s="86" t="s">
        <v>169</v>
      </c>
      <c r="I164" s="86" t="str">
        <f>IF(VLOOKUP('Gráficos Semanais'!$H164,AVES!$G$1:$DF$311,(MATCH('Gráficos Semanais'!$D$12,AVES!$H$1:$DF$1,0))+1,0)="","",VLOOKUP('Gráficos Semanais'!$H164,AVES!$G$1:$DF$311,(MATCH('Gráficos Semanais'!$D$12,AVES!$H$1:$DF$1,0))+1,0))</f>
        <v/>
      </c>
      <c r="J164" s="84"/>
      <c r="K164" s="84" t="s">
        <v>692</v>
      </c>
      <c r="L164" s="84" t="e">
        <f>IF(VLOOKUP('Gráficos Semanais'!$K164,' OVOS'!$G$1:$DF$311,(MATCH('Gráficos Semanais'!$D$12,' OVOS'!$H$1:$DF$1,0))+1,0)="","",VLOOKUP('Gráficos Semanais'!$K164,' OVOS'!$G$1:$DF$311,(MATCH('Gráficos Semanais'!$D$12,' OVOS'!$H$1:$DF$1,0))+1,0))</f>
        <v>#N/A</v>
      </c>
      <c r="M164" s="84" t="e" cm="1">
        <f t="array" ref="M164">_xlfn.IFS(L164="","",L164&lt;='Base de dados'!$K$2,'Base de dados'!$K$1,L164&lt;='Base de dados'!$L$3,'Base de dados'!$L$1,L164&lt;='Base de dados'!$M$3,'Base de dados'!$M$1,L164&gt;='Base de dados'!$N$2,'Base de dados'!$N$1)</f>
        <v>#N/A</v>
      </c>
      <c r="N164" s="84"/>
      <c r="O164" s="84"/>
    </row>
    <row r="165" spans="1:15" s="85" customFormat="1" x14ac:dyDescent="0.25">
      <c r="A165" s="47"/>
      <c r="B165" s="47"/>
      <c r="C165" s="47"/>
      <c r="D165" s="47"/>
      <c r="E165" s="47"/>
      <c r="F165" s="47"/>
      <c r="G165" s="47"/>
      <c r="H165" s="86" t="s">
        <v>170</v>
      </c>
      <c r="I165" s="86" t="str">
        <f>IF(VLOOKUP('Gráficos Semanais'!$H165,AVES!$G$1:$DF$311,(MATCH('Gráficos Semanais'!$D$12,AVES!$H$1:$DF$1,0))+1,0)="","",VLOOKUP('Gráficos Semanais'!$H165,AVES!$G$1:$DF$311,(MATCH('Gráficos Semanais'!$D$12,AVES!$H$1:$DF$1,0))+1,0))</f>
        <v/>
      </c>
      <c r="J165" s="84"/>
      <c r="K165" s="84" t="s">
        <v>693</v>
      </c>
      <c r="L165" s="84" t="e">
        <f>IF(VLOOKUP('Gráficos Semanais'!$K165,' OVOS'!$G$1:$DF$311,(MATCH('Gráficos Semanais'!$D$12,' OVOS'!$H$1:$DF$1,0))+1,0)="","",VLOOKUP('Gráficos Semanais'!$K165,' OVOS'!$G$1:$DF$311,(MATCH('Gráficos Semanais'!$D$12,' OVOS'!$H$1:$DF$1,0))+1,0))</f>
        <v>#N/A</v>
      </c>
      <c r="M165" s="84" t="e" cm="1">
        <f t="array" ref="M165">_xlfn.IFS(L165="","",L165&lt;='Base de dados'!$K$2,'Base de dados'!$K$1,L165&lt;='Base de dados'!$L$3,'Base de dados'!$L$1,L165&lt;='Base de dados'!$M$3,'Base de dados'!$M$1,L165&gt;='Base de dados'!$N$2,'Base de dados'!$N$1)</f>
        <v>#N/A</v>
      </c>
      <c r="N165" s="84"/>
      <c r="O165" s="84"/>
    </row>
    <row r="166" spans="1:15" s="85" customFormat="1" x14ac:dyDescent="0.25">
      <c r="A166" s="47"/>
      <c r="B166" s="47"/>
      <c r="C166" s="47"/>
      <c r="D166" s="47"/>
      <c r="E166" s="47"/>
      <c r="F166" s="47"/>
      <c r="G166" s="47"/>
      <c r="H166" s="86" t="s">
        <v>171</v>
      </c>
      <c r="I166" s="86" t="str">
        <f>IF(VLOOKUP('Gráficos Semanais'!$H166,AVES!$G$1:$DF$311,(MATCH('Gráficos Semanais'!$D$12,AVES!$H$1:$DF$1,0))+1,0)="","",VLOOKUP('Gráficos Semanais'!$H166,AVES!$G$1:$DF$311,(MATCH('Gráficos Semanais'!$D$12,AVES!$H$1:$DF$1,0))+1,0))</f>
        <v/>
      </c>
      <c r="J166" s="84"/>
      <c r="K166" s="84" t="s">
        <v>694</v>
      </c>
      <c r="L166" s="84" t="e">
        <f>IF(VLOOKUP('Gráficos Semanais'!$K166,' OVOS'!$G$1:$DF$311,(MATCH('Gráficos Semanais'!$D$12,' OVOS'!$H$1:$DF$1,0))+1,0)="","",VLOOKUP('Gráficos Semanais'!$K166,' OVOS'!$G$1:$DF$311,(MATCH('Gráficos Semanais'!$D$12,' OVOS'!$H$1:$DF$1,0))+1,0))</f>
        <v>#N/A</v>
      </c>
      <c r="M166" s="84" t="e" cm="1">
        <f t="array" ref="M166">_xlfn.IFS(L166="","",L166&lt;='Base de dados'!$K$2,'Base de dados'!$K$1,L166&lt;='Base de dados'!$L$3,'Base de dados'!$L$1,L166&lt;='Base de dados'!$M$3,'Base de dados'!$M$1,L166&gt;='Base de dados'!$N$2,'Base de dados'!$N$1)</f>
        <v>#N/A</v>
      </c>
      <c r="N166" s="84"/>
      <c r="O166" s="84"/>
    </row>
    <row r="167" spans="1:15" s="85" customFormat="1" x14ac:dyDescent="0.25">
      <c r="A167" s="47"/>
      <c r="B167" s="47"/>
      <c r="C167" s="47"/>
      <c r="D167" s="47"/>
      <c r="E167" s="47"/>
      <c r="F167" s="47"/>
      <c r="G167" s="47"/>
      <c r="H167" s="86" t="s">
        <v>172</v>
      </c>
      <c r="I167" s="86" t="str">
        <f>IF(VLOOKUP('Gráficos Semanais'!$H167,AVES!$G$1:$DF$311,(MATCH('Gráficos Semanais'!$D$12,AVES!$H$1:$DF$1,0))+1,0)="","",VLOOKUP('Gráficos Semanais'!$H167,AVES!$G$1:$DF$311,(MATCH('Gráficos Semanais'!$D$12,AVES!$H$1:$DF$1,0))+1,0))</f>
        <v/>
      </c>
      <c r="J167" s="84"/>
      <c r="K167" s="84" t="s">
        <v>695</v>
      </c>
      <c r="L167" s="84" t="e">
        <f>IF(VLOOKUP('Gráficos Semanais'!$K167,' OVOS'!$G$1:$DF$311,(MATCH('Gráficos Semanais'!$D$12,' OVOS'!$H$1:$DF$1,0))+1,0)="","",VLOOKUP('Gráficos Semanais'!$K167,' OVOS'!$G$1:$DF$311,(MATCH('Gráficos Semanais'!$D$12,' OVOS'!$H$1:$DF$1,0))+1,0))</f>
        <v>#N/A</v>
      </c>
      <c r="M167" s="84" t="e" cm="1">
        <f t="array" ref="M167">_xlfn.IFS(L167="","",L167&lt;='Base de dados'!$K$2,'Base de dados'!$K$1,L167&lt;='Base de dados'!$L$3,'Base de dados'!$L$1,L167&lt;='Base de dados'!$M$3,'Base de dados'!$M$1,L167&gt;='Base de dados'!$N$2,'Base de dados'!$N$1)</f>
        <v>#N/A</v>
      </c>
      <c r="N167" s="84"/>
      <c r="O167" s="84"/>
    </row>
    <row r="168" spans="1:15" s="85" customFormat="1" x14ac:dyDescent="0.25">
      <c r="A168" s="47"/>
      <c r="B168" s="47"/>
      <c r="C168" s="47"/>
      <c r="D168" s="47"/>
      <c r="E168" s="47"/>
      <c r="F168" s="47"/>
      <c r="G168" s="47"/>
      <c r="H168" s="86" t="s">
        <v>173</v>
      </c>
      <c r="I168" s="86" t="str">
        <f>IF(VLOOKUP('Gráficos Semanais'!$H168,AVES!$G$1:$DF$311,(MATCH('Gráficos Semanais'!$D$12,AVES!$H$1:$DF$1,0))+1,0)="","",VLOOKUP('Gráficos Semanais'!$H168,AVES!$G$1:$DF$311,(MATCH('Gráficos Semanais'!$D$12,AVES!$H$1:$DF$1,0))+1,0))</f>
        <v/>
      </c>
      <c r="J168" s="84"/>
      <c r="K168" s="84" t="s">
        <v>696</v>
      </c>
      <c r="L168" s="84" t="e">
        <f>IF(VLOOKUP('Gráficos Semanais'!$K168,' OVOS'!$G$1:$DF$311,(MATCH('Gráficos Semanais'!$D$12,' OVOS'!$H$1:$DF$1,0))+1,0)="","",VLOOKUP('Gráficos Semanais'!$K168,' OVOS'!$G$1:$DF$311,(MATCH('Gráficos Semanais'!$D$12,' OVOS'!$H$1:$DF$1,0))+1,0))</f>
        <v>#N/A</v>
      </c>
      <c r="M168" s="84" t="e" cm="1">
        <f t="array" ref="M168">_xlfn.IFS(L168="","",L168&lt;='Base de dados'!$K$2,'Base de dados'!$K$1,L168&lt;='Base de dados'!$L$3,'Base de dados'!$L$1,L168&lt;='Base de dados'!$M$3,'Base de dados'!$M$1,L168&gt;='Base de dados'!$N$2,'Base de dados'!$N$1)</f>
        <v>#N/A</v>
      </c>
      <c r="N168" s="84"/>
      <c r="O168" s="84"/>
    </row>
    <row r="169" spans="1:15" s="85" customFormat="1" x14ac:dyDescent="0.25">
      <c r="A169" s="47"/>
      <c r="B169" s="47"/>
      <c r="C169" s="47"/>
      <c r="D169" s="47"/>
      <c r="E169" s="47"/>
      <c r="F169" s="47"/>
      <c r="G169" s="47"/>
      <c r="H169" s="86" t="s">
        <v>174</v>
      </c>
      <c r="I169" s="86" t="str">
        <f>IF(VLOOKUP('Gráficos Semanais'!$H169,AVES!$G$1:$DF$311,(MATCH('Gráficos Semanais'!$D$12,AVES!$H$1:$DF$1,0))+1,0)="","",VLOOKUP('Gráficos Semanais'!$H169,AVES!$G$1:$DF$311,(MATCH('Gráficos Semanais'!$D$12,AVES!$H$1:$DF$1,0))+1,0))</f>
        <v/>
      </c>
      <c r="J169" s="84"/>
      <c r="K169" s="84" t="s">
        <v>697</v>
      </c>
      <c r="L169" s="84" t="e">
        <f>IF(VLOOKUP('Gráficos Semanais'!$K169,' OVOS'!$G$1:$DF$311,(MATCH('Gráficos Semanais'!$D$12,' OVOS'!$H$1:$DF$1,0))+1,0)="","",VLOOKUP('Gráficos Semanais'!$K169,' OVOS'!$G$1:$DF$311,(MATCH('Gráficos Semanais'!$D$12,' OVOS'!$H$1:$DF$1,0))+1,0))</f>
        <v>#N/A</v>
      </c>
      <c r="M169" s="84" t="e" cm="1">
        <f t="array" ref="M169">_xlfn.IFS(L169="","",L169&lt;='Base de dados'!$K$2,'Base de dados'!$K$1,L169&lt;='Base de dados'!$L$3,'Base de dados'!$L$1,L169&lt;='Base de dados'!$M$3,'Base de dados'!$M$1,L169&gt;='Base de dados'!$N$2,'Base de dados'!$N$1)</f>
        <v>#N/A</v>
      </c>
      <c r="N169" s="84"/>
      <c r="O169" s="84"/>
    </row>
    <row r="170" spans="1:15" s="85" customFormat="1" x14ac:dyDescent="0.25">
      <c r="A170" s="47"/>
      <c r="B170" s="47"/>
      <c r="C170" s="47"/>
      <c r="D170" s="47"/>
      <c r="E170" s="47"/>
      <c r="F170" s="47"/>
      <c r="G170" s="47"/>
      <c r="H170" s="86" t="s">
        <v>175</v>
      </c>
      <c r="I170" s="86" t="str">
        <f>IF(VLOOKUP('Gráficos Semanais'!$H170,AVES!$G$1:$DF$311,(MATCH('Gráficos Semanais'!$D$12,AVES!$H$1:$DF$1,0))+1,0)="","",VLOOKUP('Gráficos Semanais'!$H170,AVES!$G$1:$DF$311,(MATCH('Gráficos Semanais'!$D$12,AVES!$H$1:$DF$1,0))+1,0))</f>
        <v/>
      </c>
      <c r="J170" s="84"/>
      <c r="K170" s="84" t="s">
        <v>698</v>
      </c>
      <c r="L170" s="84" t="e">
        <f>IF(VLOOKUP('Gráficos Semanais'!$K170,' OVOS'!$G$1:$DF$311,(MATCH('Gráficos Semanais'!$D$12,' OVOS'!$H$1:$DF$1,0))+1,0)="","",VLOOKUP('Gráficos Semanais'!$K170,' OVOS'!$G$1:$DF$311,(MATCH('Gráficos Semanais'!$D$12,' OVOS'!$H$1:$DF$1,0))+1,0))</f>
        <v>#N/A</v>
      </c>
      <c r="M170" s="84" t="e" cm="1">
        <f t="array" ref="M170">_xlfn.IFS(L170="","",L170&lt;='Base de dados'!$K$2,'Base de dados'!$K$1,L170&lt;='Base de dados'!$L$3,'Base de dados'!$L$1,L170&lt;='Base de dados'!$M$3,'Base de dados'!$M$1,L170&gt;='Base de dados'!$N$2,'Base de dados'!$N$1)</f>
        <v>#N/A</v>
      </c>
      <c r="N170" s="84"/>
      <c r="O170" s="84"/>
    </row>
    <row r="171" spans="1:15" s="85" customFormat="1" x14ac:dyDescent="0.25">
      <c r="A171" s="47"/>
      <c r="B171" s="47"/>
      <c r="C171" s="47"/>
      <c r="D171" s="47"/>
      <c r="E171" s="47"/>
      <c r="F171" s="47"/>
      <c r="G171" s="47"/>
      <c r="H171" s="86" t="s">
        <v>176</v>
      </c>
      <c r="I171" s="86" t="str">
        <f>IF(VLOOKUP('Gráficos Semanais'!$H171,AVES!$G$1:$DF$311,(MATCH('Gráficos Semanais'!$D$12,AVES!$H$1:$DF$1,0))+1,0)="","",VLOOKUP('Gráficos Semanais'!$H171,AVES!$G$1:$DF$311,(MATCH('Gráficos Semanais'!$D$12,AVES!$H$1:$DF$1,0))+1,0))</f>
        <v/>
      </c>
      <c r="J171" s="84"/>
      <c r="K171" s="84" t="s">
        <v>699</v>
      </c>
      <c r="L171" s="84" t="e">
        <f>IF(VLOOKUP('Gráficos Semanais'!$K171,' OVOS'!$G$1:$DF$311,(MATCH('Gráficos Semanais'!$D$12,' OVOS'!$H$1:$DF$1,0))+1,0)="","",VLOOKUP('Gráficos Semanais'!$K171,' OVOS'!$G$1:$DF$311,(MATCH('Gráficos Semanais'!$D$12,' OVOS'!$H$1:$DF$1,0))+1,0))</f>
        <v>#N/A</v>
      </c>
      <c r="M171" s="84" t="e" cm="1">
        <f t="array" ref="M171">_xlfn.IFS(L171="","",L171&lt;='Base de dados'!$K$2,'Base de dados'!$K$1,L171&lt;='Base de dados'!$L$3,'Base de dados'!$L$1,L171&lt;='Base de dados'!$M$3,'Base de dados'!$M$1,L171&gt;='Base de dados'!$N$2,'Base de dados'!$N$1)</f>
        <v>#N/A</v>
      </c>
      <c r="N171" s="84"/>
      <c r="O171" s="84"/>
    </row>
    <row r="172" spans="1:15" s="85" customFormat="1" x14ac:dyDescent="0.25">
      <c r="A172" s="47"/>
      <c r="B172" s="47"/>
      <c r="C172" s="47"/>
      <c r="D172" s="47"/>
      <c r="E172" s="47"/>
      <c r="F172" s="47"/>
      <c r="G172" s="47"/>
      <c r="H172" s="86" t="s">
        <v>177</v>
      </c>
      <c r="I172" s="86" t="str">
        <f>IF(VLOOKUP('Gráficos Semanais'!$H172,AVES!$G$1:$DF$311,(MATCH('Gráficos Semanais'!$D$12,AVES!$H$1:$DF$1,0))+1,0)="","",VLOOKUP('Gráficos Semanais'!$H172,AVES!$G$1:$DF$311,(MATCH('Gráficos Semanais'!$D$12,AVES!$H$1:$DF$1,0))+1,0))</f>
        <v/>
      </c>
      <c r="J172" s="84"/>
      <c r="K172" s="84" t="s">
        <v>700</v>
      </c>
      <c r="L172" s="84" t="e">
        <f>IF(VLOOKUP('Gráficos Semanais'!$K172,' OVOS'!$G$1:$DF$311,(MATCH('Gráficos Semanais'!$D$12,' OVOS'!$H$1:$DF$1,0))+1,0)="","",VLOOKUP('Gráficos Semanais'!$K172,' OVOS'!$G$1:$DF$311,(MATCH('Gráficos Semanais'!$D$12,' OVOS'!$H$1:$DF$1,0))+1,0))</f>
        <v>#N/A</v>
      </c>
      <c r="M172" s="84" t="e" cm="1">
        <f t="array" ref="M172">_xlfn.IFS(L172="","",L172&lt;='Base de dados'!$K$2,'Base de dados'!$K$1,L172&lt;='Base de dados'!$L$3,'Base de dados'!$L$1,L172&lt;='Base de dados'!$M$3,'Base de dados'!$M$1,L172&gt;='Base de dados'!$N$2,'Base de dados'!$N$1)</f>
        <v>#N/A</v>
      </c>
      <c r="N172" s="84"/>
      <c r="O172" s="84"/>
    </row>
    <row r="173" spans="1:15" s="85" customFormat="1" x14ac:dyDescent="0.25">
      <c r="A173" s="47"/>
      <c r="B173" s="47"/>
      <c r="C173" s="47"/>
      <c r="D173" s="47"/>
      <c r="E173" s="47"/>
      <c r="F173" s="47"/>
      <c r="G173" s="47"/>
      <c r="H173" s="86" t="s">
        <v>178</v>
      </c>
      <c r="I173" s="86" t="str">
        <f>IF(VLOOKUP('Gráficos Semanais'!$H173,AVES!$G$1:$DF$311,(MATCH('Gráficos Semanais'!$D$12,AVES!$H$1:$DF$1,0))+1,0)="","",VLOOKUP('Gráficos Semanais'!$H173,AVES!$G$1:$DF$311,(MATCH('Gráficos Semanais'!$D$12,AVES!$H$1:$DF$1,0))+1,0))</f>
        <v/>
      </c>
      <c r="J173" s="84"/>
      <c r="K173" s="84" t="s">
        <v>701</v>
      </c>
      <c r="L173" s="84" t="e">
        <f>IF(VLOOKUP('Gráficos Semanais'!$K173,' OVOS'!$G$1:$DF$311,(MATCH('Gráficos Semanais'!$D$12,' OVOS'!$H$1:$DF$1,0))+1,0)="","",VLOOKUP('Gráficos Semanais'!$K173,' OVOS'!$G$1:$DF$311,(MATCH('Gráficos Semanais'!$D$12,' OVOS'!$H$1:$DF$1,0))+1,0))</f>
        <v>#N/A</v>
      </c>
      <c r="M173" s="84" t="e" cm="1">
        <f t="array" ref="M173">_xlfn.IFS(L173="","",L173&lt;='Base de dados'!$K$2,'Base de dados'!$K$1,L173&lt;='Base de dados'!$L$3,'Base de dados'!$L$1,L173&lt;='Base de dados'!$M$3,'Base de dados'!$M$1,L173&gt;='Base de dados'!$N$2,'Base de dados'!$N$1)</f>
        <v>#N/A</v>
      </c>
      <c r="N173" s="84"/>
      <c r="O173" s="84"/>
    </row>
    <row r="174" spans="1:15" s="85" customFormat="1" x14ac:dyDescent="0.25">
      <c r="A174" s="47"/>
      <c r="B174" s="47"/>
      <c r="C174" s="47"/>
      <c r="D174" s="47"/>
      <c r="E174" s="47"/>
      <c r="F174" s="47"/>
      <c r="G174" s="47"/>
      <c r="H174" s="86" t="s">
        <v>179</v>
      </c>
      <c r="I174" s="86" t="str">
        <f>IF(VLOOKUP('Gráficos Semanais'!$H174,AVES!$G$1:$DF$311,(MATCH('Gráficos Semanais'!$D$12,AVES!$H$1:$DF$1,0))+1,0)="","",VLOOKUP('Gráficos Semanais'!$H174,AVES!$G$1:$DF$311,(MATCH('Gráficos Semanais'!$D$12,AVES!$H$1:$DF$1,0))+1,0))</f>
        <v/>
      </c>
      <c r="J174" s="84"/>
      <c r="K174" s="84" t="s">
        <v>702</v>
      </c>
      <c r="L174" s="84" t="e">
        <f>IF(VLOOKUP('Gráficos Semanais'!$K174,' OVOS'!$G$1:$DF$311,(MATCH('Gráficos Semanais'!$D$12,' OVOS'!$H$1:$DF$1,0))+1,0)="","",VLOOKUP('Gráficos Semanais'!$K174,' OVOS'!$G$1:$DF$311,(MATCH('Gráficos Semanais'!$D$12,' OVOS'!$H$1:$DF$1,0))+1,0))</f>
        <v>#N/A</v>
      </c>
      <c r="M174" s="84" t="e" cm="1">
        <f t="array" ref="M174">_xlfn.IFS(L174="","",L174&lt;='Base de dados'!$K$2,'Base de dados'!$K$1,L174&lt;='Base de dados'!$L$3,'Base de dados'!$L$1,L174&lt;='Base de dados'!$M$3,'Base de dados'!$M$1,L174&gt;='Base de dados'!$N$2,'Base de dados'!$N$1)</f>
        <v>#N/A</v>
      </c>
      <c r="N174" s="84"/>
      <c r="O174" s="84"/>
    </row>
    <row r="175" spans="1:15" s="85" customFormat="1" x14ac:dyDescent="0.25">
      <c r="A175" s="47"/>
      <c r="B175" s="47"/>
      <c r="C175" s="47"/>
      <c r="D175" s="47"/>
      <c r="E175" s="47"/>
      <c r="F175" s="47"/>
      <c r="G175" s="47"/>
      <c r="H175" s="86" t="s">
        <v>180</v>
      </c>
      <c r="I175" s="86" t="str">
        <f>IF(VLOOKUP('Gráficos Semanais'!$H175,AVES!$G$1:$DF$311,(MATCH('Gráficos Semanais'!$D$12,AVES!$H$1:$DF$1,0))+1,0)="","",VLOOKUP('Gráficos Semanais'!$H175,AVES!$G$1:$DF$311,(MATCH('Gráficos Semanais'!$D$12,AVES!$H$1:$DF$1,0))+1,0))</f>
        <v/>
      </c>
      <c r="J175" s="84"/>
      <c r="K175" s="84" t="s">
        <v>703</v>
      </c>
      <c r="L175" s="84" t="e">
        <f>IF(VLOOKUP('Gráficos Semanais'!$K175,' OVOS'!$G$1:$DF$311,(MATCH('Gráficos Semanais'!$D$12,' OVOS'!$H$1:$DF$1,0))+1,0)="","",VLOOKUP('Gráficos Semanais'!$K175,' OVOS'!$G$1:$DF$311,(MATCH('Gráficos Semanais'!$D$12,' OVOS'!$H$1:$DF$1,0))+1,0))</f>
        <v>#N/A</v>
      </c>
      <c r="M175" s="84" t="e" cm="1">
        <f t="array" ref="M175">_xlfn.IFS(L175="","",L175&lt;='Base de dados'!$K$2,'Base de dados'!$K$1,L175&lt;='Base de dados'!$L$3,'Base de dados'!$L$1,L175&lt;='Base de dados'!$M$3,'Base de dados'!$M$1,L175&gt;='Base de dados'!$N$2,'Base de dados'!$N$1)</f>
        <v>#N/A</v>
      </c>
      <c r="N175" s="84"/>
      <c r="O175" s="84"/>
    </row>
    <row r="176" spans="1:15" s="85" customFormat="1" x14ac:dyDescent="0.25">
      <c r="A176" s="47"/>
      <c r="B176" s="47"/>
      <c r="C176" s="47"/>
      <c r="D176" s="47"/>
      <c r="E176" s="47"/>
      <c r="F176" s="47"/>
      <c r="G176" s="47"/>
      <c r="H176" s="86" t="s">
        <v>181</v>
      </c>
      <c r="I176" s="86" t="str">
        <f>IF(VLOOKUP('Gráficos Semanais'!$H176,AVES!$G$1:$DF$311,(MATCH('Gráficos Semanais'!$D$12,AVES!$H$1:$DF$1,0))+1,0)="","",VLOOKUP('Gráficos Semanais'!$H176,AVES!$G$1:$DF$311,(MATCH('Gráficos Semanais'!$D$12,AVES!$H$1:$DF$1,0))+1,0))</f>
        <v/>
      </c>
      <c r="J176" s="84"/>
      <c r="K176" s="84" t="s">
        <v>704</v>
      </c>
      <c r="L176" s="84" t="e">
        <f>IF(VLOOKUP('Gráficos Semanais'!$K176,' OVOS'!$G$1:$DF$311,(MATCH('Gráficos Semanais'!$D$12,' OVOS'!$H$1:$DF$1,0))+1,0)="","",VLOOKUP('Gráficos Semanais'!$K176,' OVOS'!$G$1:$DF$311,(MATCH('Gráficos Semanais'!$D$12,' OVOS'!$H$1:$DF$1,0))+1,0))</f>
        <v>#N/A</v>
      </c>
      <c r="M176" s="84" t="e" cm="1">
        <f t="array" ref="M176">_xlfn.IFS(L176="","",L176&lt;='Base de dados'!$K$2,'Base de dados'!$K$1,L176&lt;='Base de dados'!$L$3,'Base de dados'!$L$1,L176&lt;='Base de dados'!$M$3,'Base de dados'!$M$1,L176&gt;='Base de dados'!$N$2,'Base de dados'!$N$1)</f>
        <v>#N/A</v>
      </c>
      <c r="N176" s="84"/>
      <c r="O176" s="84"/>
    </row>
    <row r="177" spans="1:15" s="85" customFormat="1" x14ac:dyDescent="0.25">
      <c r="A177" s="47"/>
      <c r="B177" s="47"/>
      <c r="C177" s="47"/>
      <c r="D177" s="47"/>
      <c r="E177" s="47"/>
      <c r="F177" s="47"/>
      <c r="G177" s="47"/>
      <c r="H177" s="86" t="s">
        <v>182</v>
      </c>
      <c r="I177" s="86" t="str">
        <f>IF(VLOOKUP('Gráficos Semanais'!$H177,AVES!$G$1:$DF$311,(MATCH('Gráficos Semanais'!$D$12,AVES!$H$1:$DF$1,0))+1,0)="","",VLOOKUP('Gráficos Semanais'!$H177,AVES!$G$1:$DF$311,(MATCH('Gráficos Semanais'!$D$12,AVES!$H$1:$DF$1,0))+1,0))</f>
        <v/>
      </c>
      <c r="J177" s="84"/>
      <c r="K177" s="84" t="s">
        <v>705</v>
      </c>
      <c r="L177" s="84" t="e">
        <f>IF(VLOOKUP('Gráficos Semanais'!$K177,' OVOS'!$G$1:$DF$311,(MATCH('Gráficos Semanais'!$D$12,' OVOS'!$H$1:$DF$1,0))+1,0)="","",VLOOKUP('Gráficos Semanais'!$K177,' OVOS'!$G$1:$DF$311,(MATCH('Gráficos Semanais'!$D$12,' OVOS'!$H$1:$DF$1,0))+1,0))</f>
        <v>#N/A</v>
      </c>
      <c r="M177" s="84" t="e" cm="1">
        <f t="array" ref="M177">_xlfn.IFS(L177="","",L177&lt;='Base de dados'!$K$2,'Base de dados'!$K$1,L177&lt;='Base de dados'!$L$3,'Base de dados'!$L$1,L177&lt;='Base de dados'!$M$3,'Base de dados'!$M$1,L177&gt;='Base de dados'!$N$2,'Base de dados'!$N$1)</f>
        <v>#N/A</v>
      </c>
      <c r="N177" s="84"/>
      <c r="O177" s="84"/>
    </row>
    <row r="178" spans="1:15" s="85" customFormat="1" x14ac:dyDescent="0.25">
      <c r="A178" s="47"/>
      <c r="B178" s="47"/>
      <c r="C178" s="47"/>
      <c r="D178" s="47"/>
      <c r="E178" s="47"/>
      <c r="F178" s="47"/>
      <c r="G178" s="47"/>
      <c r="H178" s="86" t="s">
        <v>183</v>
      </c>
      <c r="I178" s="86" t="str">
        <f>IF(VLOOKUP('Gráficos Semanais'!$H178,AVES!$G$1:$DF$311,(MATCH('Gráficos Semanais'!$D$12,AVES!$H$1:$DF$1,0))+1,0)="","",VLOOKUP('Gráficos Semanais'!$H178,AVES!$G$1:$DF$311,(MATCH('Gráficos Semanais'!$D$12,AVES!$H$1:$DF$1,0))+1,0))</f>
        <v/>
      </c>
      <c r="J178" s="84"/>
      <c r="K178" s="84" t="s">
        <v>706</v>
      </c>
      <c r="L178" s="84" t="e">
        <f>IF(VLOOKUP('Gráficos Semanais'!$K178,' OVOS'!$G$1:$DF$311,(MATCH('Gráficos Semanais'!$D$12,' OVOS'!$H$1:$DF$1,0))+1,0)="","",VLOOKUP('Gráficos Semanais'!$K178,' OVOS'!$G$1:$DF$311,(MATCH('Gráficos Semanais'!$D$12,' OVOS'!$H$1:$DF$1,0))+1,0))</f>
        <v>#N/A</v>
      </c>
      <c r="M178" s="84" t="e" cm="1">
        <f t="array" ref="M178">_xlfn.IFS(L178="","",L178&lt;='Base de dados'!$K$2,'Base de dados'!$K$1,L178&lt;='Base de dados'!$L$3,'Base de dados'!$L$1,L178&lt;='Base de dados'!$M$3,'Base de dados'!$M$1,L178&gt;='Base de dados'!$N$2,'Base de dados'!$N$1)</f>
        <v>#N/A</v>
      </c>
      <c r="N178" s="84"/>
      <c r="O178" s="84"/>
    </row>
    <row r="179" spans="1:15" s="85" customFormat="1" x14ac:dyDescent="0.25">
      <c r="A179" s="47"/>
      <c r="B179" s="47"/>
      <c r="C179" s="47"/>
      <c r="D179" s="47"/>
      <c r="E179" s="47"/>
      <c r="F179" s="47"/>
      <c r="G179" s="47"/>
      <c r="H179" s="86" t="s">
        <v>184</v>
      </c>
      <c r="I179" s="86" t="str">
        <f>IF(VLOOKUP('Gráficos Semanais'!$H179,AVES!$G$1:$DF$311,(MATCH('Gráficos Semanais'!$D$12,AVES!$H$1:$DF$1,0))+1,0)="","",VLOOKUP('Gráficos Semanais'!$H179,AVES!$G$1:$DF$311,(MATCH('Gráficos Semanais'!$D$12,AVES!$H$1:$DF$1,0))+1,0))</f>
        <v/>
      </c>
      <c r="J179" s="84"/>
      <c r="K179" s="84" t="s">
        <v>707</v>
      </c>
      <c r="L179" s="84" t="e">
        <f>IF(VLOOKUP('Gráficos Semanais'!$K179,' OVOS'!$G$1:$DF$311,(MATCH('Gráficos Semanais'!$D$12,' OVOS'!$H$1:$DF$1,0))+1,0)="","",VLOOKUP('Gráficos Semanais'!$K179,' OVOS'!$G$1:$DF$311,(MATCH('Gráficos Semanais'!$D$12,' OVOS'!$H$1:$DF$1,0))+1,0))</f>
        <v>#N/A</v>
      </c>
      <c r="M179" s="84" t="e" cm="1">
        <f t="array" ref="M179">_xlfn.IFS(L179="","",L179&lt;='Base de dados'!$K$2,'Base de dados'!$K$1,L179&lt;='Base de dados'!$L$3,'Base de dados'!$L$1,L179&lt;='Base de dados'!$M$3,'Base de dados'!$M$1,L179&gt;='Base de dados'!$N$2,'Base de dados'!$N$1)</f>
        <v>#N/A</v>
      </c>
      <c r="N179" s="84"/>
      <c r="O179" s="84"/>
    </row>
    <row r="180" spans="1:15" s="85" customFormat="1" x14ac:dyDescent="0.25">
      <c r="A180" s="47"/>
      <c r="B180" s="47"/>
      <c r="C180" s="47"/>
      <c r="D180" s="47"/>
      <c r="E180" s="47"/>
      <c r="F180" s="47"/>
      <c r="G180" s="47"/>
      <c r="H180" s="86" t="s">
        <v>185</v>
      </c>
      <c r="I180" s="86" t="str">
        <f>IF(VLOOKUP('Gráficos Semanais'!$H180,AVES!$G$1:$DF$311,(MATCH('Gráficos Semanais'!$D$12,AVES!$H$1:$DF$1,0))+1,0)="","",VLOOKUP('Gráficos Semanais'!$H180,AVES!$G$1:$DF$311,(MATCH('Gráficos Semanais'!$D$12,AVES!$H$1:$DF$1,0))+1,0))</f>
        <v/>
      </c>
      <c r="J180" s="84"/>
      <c r="K180" s="84" t="s">
        <v>708</v>
      </c>
      <c r="L180" s="84" t="e">
        <f>IF(VLOOKUP('Gráficos Semanais'!$K180,' OVOS'!$G$1:$DF$311,(MATCH('Gráficos Semanais'!$D$12,' OVOS'!$H$1:$DF$1,0))+1,0)="","",VLOOKUP('Gráficos Semanais'!$K180,' OVOS'!$G$1:$DF$311,(MATCH('Gráficos Semanais'!$D$12,' OVOS'!$H$1:$DF$1,0))+1,0))</f>
        <v>#N/A</v>
      </c>
      <c r="M180" s="84" t="e" cm="1">
        <f t="array" ref="M180">_xlfn.IFS(L180="","",L180&lt;='Base de dados'!$K$2,'Base de dados'!$K$1,L180&lt;='Base de dados'!$L$3,'Base de dados'!$L$1,L180&lt;='Base de dados'!$M$3,'Base de dados'!$M$1,L180&gt;='Base de dados'!$N$2,'Base de dados'!$N$1)</f>
        <v>#N/A</v>
      </c>
      <c r="N180" s="84"/>
      <c r="O180" s="84"/>
    </row>
    <row r="181" spans="1:15" s="85" customFormat="1" x14ac:dyDescent="0.25">
      <c r="A181" s="47"/>
      <c r="B181" s="47"/>
      <c r="C181" s="47"/>
      <c r="D181" s="47"/>
      <c r="E181" s="47"/>
      <c r="F181" s="47"/>
      <c r="G181" s="47"/>
      <c r="H181" s="86" t="s">
        <v>186</v>
      </c>
      <c r="I181" s="86" t="str">
        <f>IF(VLOOKUP('Gráficos Semanais'!$H181,AVES!$G$1:$DF$311,(MATCH('Gráficos Semanais'!$D$12,AVES!$H$1:$DF$1,0))+1,0)="","",VLOOKUP('Gráficos Semanais'!$H181,AVES!$G$1:$DF$311,(MATCH('Gráficos Semanais'!$D$12,AVES!$H$1:$DF$1,0))+1,0))</f>
        <v/>
      </c>
      <c r="J181" s="84"/>
      <c r="K181" s="84" t="s">
        <v>709</v>
      </c>
      <c r="L181" s="84" t="e">
        <f>IF(VLOOKUP('Gráficos Semanais'!$K181,' OVOS'!$G$1:$DF$311,(MATCH('Gráficos Semanais'!$D$12,' OVOS'!$H$1:$DF$1,0))+1,0)="","",VLOOKUP('Gráficos Semanais'!$K181,' OVOS'!$G$1:$DF$311,(MATCH('Gráficos Semanais'!$D$12,' OVOS'!$H$1:$DF$1,0))+1,0))</f>
        <v>#N/A</v>
      </c>
      <c r="M181" s="84" t="e" cm="1">
        <f t="array" ref="M181">_xlfn.IFS(L181="","",L181&lt;='Base de dados'!$K$2,'Base de dados'!$K$1,L181&lt;='Base de dados'!$L$3,'Base de dados'!$L$1,L181&lt;='Base de dados'!$M$3,'Base de dados'!$M$1,L181&gt;='Base de dados'!$N$2,'Base de dados'!$N$1)</f>
        <v>#N/A</v>
      </c>
      <c r="N181" s="84"/>
      <c r="O181" s="84"/>
    </row>
    <row r="182" spans="1:15" s="85" customFormat="1" x14ac:dyDescent="0.25">
      <c r="A182" s="47"/>
      <c r="B182" s="47"/>
      <c r="C182" s="47"/>
      <c r="D182" s="47"/>
      <c r="E182" s="47"/>
      <c r="F182" s="47"/>
      <c r="G182" s="47"/>
      <c r="H182" s="86" t="s">
        <v>187</v>
      </c>
      <c r="I182" s="86" t="str">
        <f>IF(VLOOKUP('Gráficos Semanais'!$H182,AVES!$G$1:$DF$311,(MATCH('Gráficos Semanais'!$D$12,AVES!$H$1:$DF$1,0))+1,0)="","",VLOOKUP('Gráficos Semanais'!$H182,AVES!$G$1:$DF$311,(MATCH('Gráficos Semanais'!$D$12,AVES!$H$1:$DF$1,0))+1,0))</f>
        <v/>
      </c>
      <c r="J182" s="84"/>
      <c r="K182" s="84" t="s">
        <v>710</v>
      </c>
      <c r="L182" s="84" t="e">
        <f>IF(VLOOKUP('Gráficos Semanais'!$K182,' OVOS'!$G$1:$DF$311,(MATCH('Gráficos Semanais'!$D$12,' OVOS'!$H$1:$DF$1,0))+1,0)="","",VLOOKUP('Gráficos Semanais'!$K182,' OVOS'!$G$1:$DF$311,(MATCH('Gráficos Semanais'!$D$12,' OVOS'!$H$1:$DF$1,0))+1,0))</f>
        <v>#N/A</v>
      </c>
      <c r="M182" s="84" t="e" cm="1">
        <f t="array" ref="M182">_xlfn.IFS(L182="","",L182&lt;='Base de dados'!$K$2,'Base de dados'!$K$1,L182&lt;='Base de dados'!$L$3,'Base de dados'!$L$1,L182&lt;='Base de dados'!$M$3,'Base de dados'!$M$1,L182&gt;='Base de dados'!$N$2,'Base de dados'!$N$1)</f>
        <v>#N/A</v>
      </c>
      <c r="N182" s="84"/>
      <c r="O182" s="84"/>
    </row>
    <row r="183" spans="1:15" s="85" customFormat="1" x14ac:dyDescent="0.25">
      <c r="A183" s="47"/>
      <c r="B183" s="47"/>
      <c r="C183" s="47"/>
      <c r="D183" s="47"/>
      <c r="E183" s="47"/>
      <c r="F183" s="47"/>
      <c r="G183" s="47"/>
      <c r="H183" s="86" t="s">
        <v>188</v>
      </c>
      <c r="I183" s="86" t="str">
        <f>IF(VLOOKUP('Gráficos Semanais'!$H183,AVES!$G$1:$DF$311,(MATCH('Gráficos Semanais'!$D$12,AVES!$H$1:$DF$1,0))+1,0)="","",VLOOKUP('Gráficos Semanais'!$H183,AVES!$G$1:$DF$311,(MATCH('Gráficos Semanais'!$D$12,AVES!$H$1:$DF$1,0))+1,0))</f>
        <v/>
      </c>
      <c r="J183" s="84"/>
      <c r="K183" s="84" t="s">
        <v>711</v>
      </c>
      <c r="L183" s="84" t="e">
        <f>IF(VLOOKUP('Gráficos Semanais'!$K183,' OVOS'!$G$1:$DF$311,(MATCH('Gráficos Semanais'!$D$12,' OVOS'!$H$1:$DF$1,0))+1,0)="","",VLOOKUP('Gráficos Semanais'!$K183,' OVOS'!$G$1:$DF$311,(MATCH('Gráficos Semanais'!$D$12,' OVOS'!$H$1:$DF$1,0))+1,0))</f>
        <v>#N/A</v>
      </c>
      <c r="M183" s="84" t="e" cm="1">
        <f t="array" ref="M183">_xlfn.IFS(L183="","",L183&lt;='Base de dados'!$K$2,'Base de dados'!$K$1,L183&lt;='Base de dados'!$L$3,'Base de dados'!$L$1,L183&lt;='Base de dados'!$M$3,'Base de dados'!$M$1,L183&gt;='Base de dados'!$N$2,'Base de dados'!$N$1)</f>
        <v>#N/A</v>
      </c>
      <c r="N183" s="84"/>
      <c r="O183" s="84"/>
    </row>
    <row r="184" spans="1:15" s="85" customFormat="1" x14ac:dyDescent="0.25">
      <c r="A184" s="47"/>
      <c r="B184" s="47"/>
      <c r="C184" s="47"/>
      <c r="D184" s="47"/>
      <c r="E184" s="47"/>
      <c r="F184" s="47"/>
      <c r="G184" s="47"/>
      <c r="H184" s="86" t="s">
        <v>189</v>
      </c>
      <c r="I184" s="86" t="str">
        <f>IF(VLOOKUP('Gráficos Semanais'!$H184,AVES!$G$1:$DF$311,(MATCH('Gráficos Semanais'!$D$12,AVES!$H$1:$DF$1,0))+1,0)="","",VLOOKUP('Gráficos Semanais'!$H184,AVES!$G$1:$DF$311,(MATCH('Gráficos Semanais'!$D$12,AVES!$H$1:$DF$1,0))+1,0))</f>
        <v/>
      </c>
      <c r="J184" s="84"/>
      <c r="K184" s="84" t="s">
        <v>712</v>
      </c>
      <c r="L184" s="84" t="e">
        <f>IF(VLOOKUP('Gráficos Semanais'!$K184,' OVOS'!$G$1:$DF$311,(MATCH('Gráficos Semanais'!$D$12,' OVOS'!$H$1:$DF$1,0))+1,0)="","",VLOOKUP('Gráficos Semanais'!$K184,' OVOS'!$G$1:$DF$311,(MATCH('Gráficos Semanais'!$D$12,' OVOS'!$H$1:$DF$1,0))+1,0))</f>
        <v>#N/A</v>
      </c>
      <c r="M184" s="84" t="e" cm="1">
        <f t="array" ref="M184">_xlfn.IFS(L184="","",L184&lt;='Base de dados'!$K$2,'Base de dados'!$K$1,L184&lt;='Base de dados'!$L$3,'Base de dados'!$L$1,L184&lt;='Base de dados'!$M$3,'Base de dados'!$M$1,L184&gt;='Base de dados'!$N$2,'Base de dados'!$N$1)</f>
        <v>#N/A</v>
      </c>
      <c r="N184" s="84"/>
      <c r="O184" s="84"/>
    </row>
    <row r="185" spans="1:15" s="85" customFormat="1" x14ac:dyDescent="0.25">
      <c r="A185" s="47"/>
      <c r="B185" s="47"/>
      <c r="C185" s="47"/>
      <c r="D185" s="47"/>
      <c r="E185" s="47"/>
      <c r="F185" s="47"/>
      <c r="G185" s="47"/>
      <c r="H185" s="86" t="s">
        <v>190</v>
      </c>
      <c r="I185" s="86" t="str">
        <f>IF(VLOOKUP('Gráficos Semanais'!$H185,AVES!$G$1:$DF$311,(MATCH('Gráficos Semanais'!$D$12,AVES!$H$1:$DF$1,0))+1,0)="","",VLOOKUP('Gráficos Semanais'!$H185,AVES!$G$1:$DF$311,(MATCH('Gráficos Semanais'!$D$12,AVES!$H$1:$DF$1,0))+1,0))</f>
        <v/>
      </c>
      <c r="J185" s="84"/>
      <c r="K185" s="84" t="s">
        <v>713</v>
      </c>
      <c r="L185" s="84" t="e">
        <f>IF(VLOOKUP('Gráficos Semanais'!$K185,' OVOS'!$G$1:$DF$311,(MATCH('Gráficos Semanais'!$D$12,' OVOS'!$H$1:$DF$1,0))+1,0)="","",VLOOKUP('Gráficos Semanais'!$K185,' OVOS'!$G$1:$DF$311,(MATCH('Gráficos Semanais'!$D$12,' OVOS'!$H$1:$DF$1,0))+1,0))</f>
        <v>#N/A</v>
      </c>
      <c r="M185" s="84" t="e" cm="1">
        <f t="array" ref="M185">_xlfn.IFS(L185="","",L185&lt;='Base de dados'!$K$2,'Base de dados'!$K$1,L185&lt;='Base de dados'!$L$3,'Base de dados'!$L$1,L185&lt;='Base de dados'!$M$3,'Base de dados'!$M$1,L185&gt;='Base de dados'!$N$2,'Base de dados'!$N$1)</f>
        <v>#N/A</v>
      </c>
      <c r="N185" s="84"/>
      <c r="O185" s="84"/>
    </row>
    <row r="186" spans="1:15" s="85" customFormat="1" x14ac:dyDescent="0.25">
      <c r="A186" s="47"/>
      <c r="B186" s="47"/>
      <c r="C186" s="47"/>
      <c r="D186" s="47"/>
      <c r="E186" s="47"/>
      <c r="F186" s="47"/>
      <c r="G186" s="47"/>
      <c r="H186" s="86" t="s">
        <v>191</v>
      </c>
      <c r="I186" s="86" t="str">
        <f>IF(VLOOKUP('Gráficos Semanais'!$H186,AVES!$G$1:$DF$311,(MATCH('Gráficos Semanais'!$D$12,AVES!$H$1:$DF$1,0))+1,0)="","",VLOOKUP('Gráficos Semanais'!$H186,AVES!$G$1:$DF$311,(MATCH('Gráficos Semanais'!$D$12,AVES!$H$1:$DF$1,0))+1,0))</f>
        <v/>
      </c>
      <c r="J186" s="84"/>
      <c r="K186" s="84" t="s">
        <v>714</v>
      </c>
      <c r="L186" s="84" t="e">
        <f>IF(VLOOKUP('Gráficos Semanais'!$K186,' OVOS'!$G$1:$DF$311,(MATCH('Gráficos Semanais'!$D$12,' OVOS'!$H$1:$DF$1,0))+1,0)="","",VLOOKUP('Gráficos Semanais'!$K186,' OVOS'!$G$1:$DF$311,(MATCH('Gráficos Semanais'!$D$12,' OVOS'!$H$1:$DF$1,0))+1,0))</f>
        <v>#N/A</v>
      </c>
      <c r="M186" s="84" t="e" cm="1">
        <f t="array" ref="M186">_xlfn.IFS(L186="","",L186&lt;='Base de dados'!$K$2,'Base de dados'!$K$1,L186&lt;='Base de dados'!$L$3,'Base de dados'!$L$1,L186&lt;='Base de dados'!$M$3,'Base de dados'!$M$1,L186&gt;='Base de dados'!$N$2,'Base de dados'!$N$1)</f>
        <v>#N/A</v>
      </c>
      <c r="N186" s="84"/>
      <c r="O186" s="84"/>
    </row>
    <row r="187" spans="1:15" s="85" customFormat="1" x14ac:dyDescent="0.25">
      <c r="A187" s="47"/>
      <c r="B187" s="47"/>
      <c r="C187" s="47"/>
      <c r="D187" s="47"/>
      <c r="E187" s="47"/>
      <c r="F187" s="47"/>
      <c r="G187" s="47"/>
      <c r="H187" s="86" t="s">
        <v>192</v>
      </c>
      <c r="I187" s="86" t="str">
        <f>IF(VLOOKUP('Gráficos Semanais'!$H187,AVES!$G$1:$DF$311,(MATCH('Gráficos Semanais'!$D$12,AVES!$H$1:$DF$1,0))+1,0)="","",VLOOKUP('Gráficos Semanais'!$H187,AVES!$G$1:$DF$311,(MATCH('Gráficos Semanais'!$D$12,AVES!$H$1:$DF$1,0))+1,0))</f>
        <v/>
      </c>
      <c r="J187" s="84"/>
      <c r="K187" s="84" t="s">
        <v>715</v>
      </c>
      <c r="L187" s="84" t="e">
        <f>IF(VLOOKUP('Gráficos Semanais'!$K187,' OVOS'!$G$1:$DF$311,(MATCH('Gráficos Semanais'!$D$12,' OVOS'!$H$1:$DF$1,0))+1,0)="","",VLOOKUP('Gráficos Semanais'!$K187,' OVOS'!$G$1:$DF$311,(MATCH('Gráficos Semanais'!$D$12,' OVOS'!$H$1:$DF$1,0))+1,0))</f>
        <v>#N/A</v>
      </c>
      <c r="M187" s="84" t="e" cm="1">
        <f t="array" ref="M187">_xlfn.IFS(L187="","",L187&lt;='Base de dados'!$K$2,'Base de dados'!$K$1,L187&lt;='Base de dados'!$L$3,'Base de dados'!$L$1,L187&lt;='Base de dados'!$M$3,'Base de dados'!$M$1,L187&gt;='Base de dados'!$N$2,'Base de dados'!$N$1)</f>
        <v>#N/A</v>
      </c>
      <c r="N187" s="84"/>
      <c r="O187" s="84"/>
    </row>
    <row r="188" spans="1:15" s="85" customFormat="1" x14ac:dyDescent="0.25">
      <c r="A188" s="47"/>
      <c r="B188" s="47"/>
      <c r="C188" s="47"/>
      <c r="D188" s="47"/>
      <c r="E188" s="47"/>
      <c r="F188" s="47"/>
      <c r="G188" s="47"/>
      <c r="H188" s="86" t="s">
        <v>193</v>
      </c>
      <c r="I188" s="86" t="str">
        <f>IF(VLOOKUP('Gráficos Semanais'!$H188,AVES!$G$1:$DF$311,(MATCH('Gráficos Semanais'!$D$12,AVES!$H$1:$DF$1,0))+1,0)="","",VLOOKUP('Gráficos Semanais'!$H188,AVES!$G$1:$DF$311,(MATCH('Gráficos Semanais'!$D$12,AVES!$H$1:$DF$1,0))+1,0))</f>
        <v/>
      </c>
      <c r="J188" s="84"/>
      <c r="K188" s="84" t="s">
        <v>716</v>
      </c>
      <c r="L188" s="84" t="e">
        <f>IF(VLOOKUP('Gráficos Semanais'!$K188,' OVOS'!$G$1:$DF$311,(MATCH('Gráficos Semanais'!$D$12,' OVOS'!$H$1:$DF$1,0))+1,0)="","",VLOOKUP('Gráficos Semanais'!$K188,' OVOS'!$G$1:$DF$311,(MATCH('Gráficos Semanais'!$D$12,' OVOS'!$H$1:$DF$1,0))+1,0))</f>
        <v>#N/A</v>
      </c>
      <c r="M188" s="84" t="e" cm="1">
        <f t="array" ref="M188">_xlfn.IFS(L188="","",L188&lt;='Base de dados'!$K$2,'Base de dados'!$K$1,L188&lt;='Base de dados'!$L$3,'Base de dados'!$L$1,L188&lt;='Base de dados'!$M$3,'Base de dados'!$M$1,L188&gt;='Base de dados'!$N$2,'Base de dados'!$N$1)</f>
        <v>#N/A</v>
      </c>
      <c r="N188" s="84"/>
      <c r="O188" s="84"/>
    </row>
    <row r="189" spans="1:15" s="85" customFormat="1" x14ac:dyDescent="0.25">
      <c r="A189" s="47"/>
      <c r="B189" s="47"/>
      <c r="C189" s="47"/>
      <c r="D189" s="47"/>
      <c r="E189" s="47"/>
      <c r="F189" s="47"/>
      <c r="G189" s="47"/>
      <c r="H189" s="86" t="s">
        <v>194</v>
      </c>
      <c r="I189" s="86" t="str">
        <f>IF(VLOOKUP('Gráficos Semanais'!$H189,AVES!$G$1:$DF$311,(MATCH('Gráficos Semanais'!$D$12,AVES!$H$1:$DF$1,0))+1,0)="","",VLOOKUP('Gráficos Semanais'!$H189,AVES!$G$1:$DF$311,(MATCH('Gráficos Semanais'!$D$12,AVES!$H$1:$DF$1,0))+1,0))</f>
        <v/>
      </c>
      <c r="J189" s="84"/>
      <c r="K189" s="84" t="s">
        <v>717</v>
      </c>
      <c r="L189" s="84" t="e">
        <f>IF(VLOOKUP('Gráficos Semanais'!$K189,' OVOS'!$G$1:$DF$311,(MATCH('Gráficos Semanais'!$D$12,' OVOS'!$H$1:$DF$1,0))+1,0)="","",VLOOKUP('Gráficos Semanais'!$K189,' OVOS'!$G$1:$DF$311,(MATCH('Gráficos Semanais'!$D$12,' OVOS'!$H$1:$DF$1,0))+1,0))</f>
        <v>#N/A</v>
      </c>
      <c r="M189" s="84" t="e" cm="1">
        <f t="array" ref="M189">_xlfn.IFS(L189="","",L189&lt;='Base de dados'!$K$2,'Base de dados'!$K$1,L189&lt;='Base de dados'!$L$3,'Base de dados'!$L$1,L189&lt;='Base de dados'!$M$3,'Base de dados'!$M$1,L189&gt;='Base de dados'!$N$2,'Base de dados'!$N$1)</f>
        <v>#N/A</v>
      </c>
      <c r="N189" s="84"/>
      <c r="O189" s="84"/>
    </row>
    <row r="190" spans="1:15" s="85" customFormat="1" x14ac:dyDescent="0.25">
      <c r="A190" s="47"/>
      <c r="B190" s="47"/>
      <c r="C190" s="47"/>
      <c r="D190" s="47"/>
      <c r="E190" s="47"/>
      <c r="F190" s="47"/>
      <c r="G190" s="47"/>
      <c r="H190" s="86" t="s">
        <v>195</v>
      </c>
      <c r="I190" s="86" t="str">
        <f>IF(VLOOKUP('Gráficos Semanais'!$H190,AVES!$G$1:$DF$311,(MATCH('Gráficos Semanais'!$D$12,AVES!$H$1:$DF$1,0))+1,0)="","",VLOOKUP('Gráficos Semanais'!$H190,AVES!$G$1:$DF$311,(MATCH('Gráficos Semanais'!$D$12,AVES!$H$1:$DF$1,0))+1,0))</f>
        <v/>
      </c>
      <c r="J190" s="84"/>
      <c r="K190" s="84" t="s">
        <v>718</v>
      </c>
      <c r="L190" s="84" t="e">
        <f>IF(VLOOKUP('Gráficos Semanais'!$K190,' OVOS'!$G$1:$DF$311,(MATCH('Gráficos Semanais'!$D$12,' OVOS'!$H$1:$DF$1,0))+1,0)="","",VLOOKUP('Gráficos Semanais'!$K190,' OVOS'!$G$1:$DF$311,(MATCH('Gráficos Semanais'!$D$12,' OVOS'!$H$1:$DF$1,0))+1,0))</f>
        <v>#N/A</v>
      </c>
      <c r="M190" s="84" t="e" cm="1">
        <f t="array" ref="M190">_xlfn.IFS(L190="","",L190&lt;='Base de dados'!$K$2,'Base de dados'!$K$1,L190&lt;='Base de dados'!$L$3,'Base de dados'!$L$1,L190&lt;='Base de dados'!$M$3,'Base de dados'!$M$1,L190&gt;='Base de dados'!$N$2,'Base de dados'!$N$1)</f>
        <v>#N/A</v>
      </c>
      <c r="N190" s="84"/>
      <c r="O190" s="84"/>
    </row>
    <row r="191" spans="1:15" s="85" customFormat="1" x14ac:dyDescent="0.25">
      <c r="A191" s="47"/>
      <c r="B191" s="47"/>
      <c r="C191" s="47"/>
      <c r="D191" s="47"/>
      <c r="E191" s="47"/>
      <c r="F191" s="47"/>
      <c r="G191" s="47"/>
      <c r="H191" s="86" t="s">
        <v>196</v>
      </c>
      <c r="I191" s="86" t="str">
        <f>IF(VLOOKUP('Gráficos Semanais'!$H191,AVES!$G$1:$DF$311,(MATCH('Gráficos Semanais'!$D$12,AVES!$H$1:$DF$1,0))+1,0)="","",VLOOKUP('Gráficos Semanais'!$H191,AVES!$G$1:$DF$311,(MATCH('Gráficos Semanais'!$D$12,AVES!$H$1:$DF$1,0))+1,0))</f>
        <v/>
      </c>
      <c r="J191" s="84"/>
      <c r="K191" s="84" t="s">
        <v>719</v>
      </c>
      <c r="L191" s="84" t="e">
        <f>IF(VLOOKUP('Gráficos Semanais'!$K191,' OVOS'!$G$1:$DF$311,(MATCH('Gráficos Semanais'!$D$12,' OVOS'!$H$1:$DF$1,0))+1,0)="","",VLOOKUP('Gráficos Semanais'!$K191,' OVOS'!$G$1:$DF$311,(MATCH('Gráficos Semanais'!$D$12,' OVOS'!$H$1:$DF$1,0))+1,0))</f>
        <v>#N/A</v>
      </c>
      <c r="M191" s="84" t="e" cm="1">
        <f t="array" ref="M191">_xlfn.IFS(L191="","",L191&lt;='Base de dados'!$K$2,'Base de dados'!$K$1,L191&lt;='Base de dados'!$L$3,'Base de dados'!$L$1,L191&lt;='Base de dados'!$M$3,'Base de dados'!$M$1,L191&gt;='Base de dados'!$N$2,'Base de dados'!$N$1)</f>
        <v>#N/A</v>
      </c>
      <c r="N191" s="84"/>
      <c r="O191" s="84"/>
    </row>
    <row r="192" spans="1:15" s="85" customFormat="1" x14ac:dyDescent="0.25">
      <c r="A192" s="47"/>
      <c r="B192" s="47"/>
      <c r="C192" s="47"/>
      <c r="D192" s="47"/>
      <c r="E192" s="47"/>
      <c r="F192" s="47"/>
      <c r="G192" s="47"/>
      <c r="H192" s="86" t="s">
        <v>197</v>
      </c>
      <c r="I192" s="86" t="str">
        <f>IF(VLOOKUP('Gráficos Semanais'!$H192,AVES!$G$1:$DF$311,(MATCH('Gráficos Semanais'!$D$12,AVES!$H$1:$DF$1,0))+1,0)="","",VLOOKUP('Gráficos Semanais'!$H192,AVES!$G$1:$DF$311,(MATCH('Gráficos Semanais'!$D$12,AVES!$H$1:$DF$1,0))+1,0))</f>
        <v/>
      </c>
      <c r="J192" s="84"/>
      <c r="K192" s="84" t="s">
        <v>720</v>
      </c>
      <c r="L192" s="84" t="e">
        <f>IF(VLOOKUP('Gráficos Semanais'!$K192,' OVOS'!$G$1:$DF$311,(MATCH('Gráficos Semanais'!$D$12,' OVOS'!$H$1:$DF$1,0))+1,0)="","",VLOOKUP('Gráficos Semanais'!$K192,' OVOS'!$G$1:$DF$311,(MATCH('Gráficos Semanais'!$D$12,' OVOS'!$H$1:$DF$1,0))+1,0))</f>
        <v>#N/A</v>
      </c>
      <c r="M192" s="84" t="e" cm="1">
        <f t="array" ref="M192">_xlfn.IFS(L192="","",L192&lt;='Base de dados'!$K$2,'Base de dados'!$K$1,L192&lt;='Base de dados'!$L$3,'Base de dados'!$L$1,L192&lt;='Base de dados'!$M$3,'Base de dados'!$M$1,L192&gt;='Base de dados'!$N$2,'Base de dados'!$N$1)</f>
        <v>#N/A</v>
      </c>
      <c r="N192" s="84"/>
      <c r="O192" s="84"/>
    </row>
    <row r="193" spans="1:15" s="85" customFormat="1" x14ac:dyDescent="0.25">
      <c r="A193" s="47"/>
      <c r="B193" s="47"/>
      <c r="C193" s="47"/>
      <c r="D193" s="47"/>
      <c r="E193" s="47"/>
      <c r="F193" s="47"/>
      <c r="G193" s="47"/>
      <c r="H193" s="86" t="s">
        <v>198</v>
      </c>
      <c r="I193" s="86" t="str">
        <f>IF(VLOOKUP('Gráficos Semanais'!$H193,AVES!$G$1:$DF$311,(MATCH('Gráficos Semanais'!$D$12,AVES!$H$1:$DF$1,0))+1,0)="","",VLOOKUP('Gráficos Semanais'!$H193,AVES!$G$1:$DF$311,(MATCH('Gráficos Semanais'!$D$12,AVES!$H$1:$DF$1,0))+1,0))</f>
        <v/>
      </c>
      <c r="J193" s="84"/>
      <c r="K193" s="84" t="s">
        <v>721</v>
      </c>
      <c r="L193" s="84" t="e">
        <f>IF(VLOOKUP('Gráficos Semanais'!$K193,' OVOS'!$G$1:$DF$311,(MATCH('Gráficos Semanais'!$D$12,' OVOS'!$H$1:$DF$1,0))+1,0)="","",VLOOKUP('Gráficos Semanais'!$K193,' OVOS'!$G$1:$DF$311,(MATCH('Gráficos Semanais'!$D$12,' OVOS'!$H$1:$DF$1,0))+1,0))</f>
        <v>#N/A</v>
      </c>
      <c r="M193" s="84" t="e" cm="1">
        <f t="array" ref="M193">_xlfn.IFS(L193="","",L193&lt;='Base de dados'!$K$2,'Base de dados'!$K$1,L193&lt;='Base de dados'!$L$3,'Base de dados'!$L$1,L193&lt;='Base de dados'!$M$3,'Base de dados'!$M$1,L193&gt;='Base de dados'!$N$2,'Base de dados'!$N$1)</f>
        <v>#N/A</v>
      </c>
      <c r="N193" s="84"/>
      <c r="O193" s="84"/>
    </row>
    <row r="194" spans="1:15" s="85" customFormat="1" x14ac:dyDescent="0.25">
      <c r="A194" s="47"/>
      <c r="B194" s="47"/>
      <c r="C194" s="47"/>
      <c r="D194" s="47"/>
      <c r="E194" s="47"/>
      <c r="F194" s="47"/>
      <c r="G194" s="47"/>
      <c r="H194" s="86" t="s">
        <v>199</v>
      </c>
      <c r="I194" s="86" t="str">
        <f>IF(VLOOKUP('Gráficos Semanais'!$H194,AVES!$G$1:$DF$311,(MATCH('Gráficos Semanais'!$D$12,AVES!$H$1:$DF$1,0))+1,0)="","",VLOOKUP('Gráficos Semanais'!$H194,AVES!$G$1:$DF$311,(MATCH('Gráficos Semanais'!$D$12,AVES!$H$1:$DF$1,0))+1,0))</f>
        <v/>
      </c>
      <c r="J194" s="84"/>
      <c r="K194" s="84" t="s">
        <v>722</v>
      </c>
      <c r="L194" s="84" t="e">
        <f>IF(VLOOKUP('Gráficos Semanais'!$K194,' OVOS'!$G$1:$DF$311,(MATCH('Gráficos Semanais'!$D$12,' OVOS'!$H$1:$DF$1,0))+1,0)="","",VLOOKUP('Gráficos Semanais'!$K194,' OVOS'!$G$1:$DF$311,(MATCH('Gráficos Semanais'!$D$12,' OVOS'!$H$1:$DF$1,0))+1,0))</f>
        <v>#N/A</v>
      </c>
      <c r="M194" s="84" t="e" cm="1">
        <f t="array" ref="M194">_xlfn.IFS(L194="","",L194&lt;='Base de dados'!$K$2,'Base de dados'!$K$1,L194&lt;='Base de dados'!$L$3,'Base de dados'!$L$1,L194&lt;='Base de dados'!$M$3,'Base de dados'!$M$1,L194&gt;='Base de dados'!$N$2,'Base de dados'!$N$1)</f>
        <v>#N/A</v>
      </c>
      <c r="N194" s="84"/>
      <c r="O194" s="84"/>
    </row>
    <row r="195" spans="1:15" s="85" customFormat="1" x14ac:dyDescent="0.25">
      <c r="A195" s="47"/>
      <c r="B195" s="47"/>
      <c r="C195" s="47"/>
      <c r="D195" s="47"/>
      <c r="E195" s="47"/>
      <c r="F195" s="47"/>
      <c r="G195" s="47"/>
      <c r="H195" s="86" t="s">
        <v>200</v>
      </c>
      <c r="I195" s="86" t="str">
        <f>IF(VLOOKUP('Gráficos Semanais'!$H195,AVES!$G$1:$DF$311,(MATCH('Gráficos Semanais'!$D$12,AVES!$H$1:$DF$1,0))+1,0)="","",VLOOKUP('Gráficos Semanais'!$H195,AVES!$G$1:$DF$311,(MATCH('Gráficos Semanais'!$D$12,AVES!$H$1:$DF$1,0))+1,0))</f>
        <v/>
      </c>
      <c r="J195" s="84"/>
      <c r="K195" s="84" t="s">
        <v>723</v>
      </c>
      <c r="L195" s="84" t="e">
        <f>IF(VLOOKUP('Gráficos Semanais'!$K195,' OVOS'!$G$1:$DF$311,(MATCH('Gráficos Semanais'!$D$12,' OVOS'!$H$1:$DF$1,0))+1,0)="","",VLOOKUP('Gráficos Semanais'!$K195,' OVOS'!$G$1:$DF$311,(MATCH('Gráficos Semanais'!$D$12,' OVOS'!$H$1:$DF$1,0))+1,0))</f>
        <v>#N/A</v>
      </c>
      <c r="M195" s="84" t="e" cm="1">
        <f t="array" ref="M195">_xlfn.IFS(L195="","",L195&lt;='Base de dados'!$K$2,'Base de dados'!$K$1,L195&lt;='Base de dados'!$L$3,'Base de dados'!$L$1,L195&lt;='Base de dados'!$M$3,'Base de dados'!$M$1,L195&gt;='Base de dados'!$N$2,'Base de dados'!$N$1)</f>
        <v>#N/A</v>
      </c>
      <c r="N195" s="84"/>
      <c r="O195" s="84"/>
    </row>
    <row r="196" spans="1:15" s="85" customFormat="1" x14ac:dyDescent="0.25">
      <c r="A196" s="47"/>
      <c r="B196" s="47"/>
      <c r="C196" s="47"/>
      <c r="D196" s="47"/>
      <c r="E196" s="47"/>
      <c r="F196" s="47"/>
      <c r="G196" s="47"/>
      <c r="H196" s="86" t="s">
        <v>201</v>
      </c>
      <c r="I196" s="86" t="str">
        <f>IF(VLOOKUP('Gráficos Semanais'!$H196,AVES!$G$1:$DF$311,(MATCH('Gráficos Semanais'!$D$12,AVES!$H$1:$DF$1,0))+1,0)="","",VLOOKUP('Gráficos Semanais'!$H196,AVES!$G$1:$DF$311,(MATCH('Gráficos Semanais'!$D$12,AVES!$H$1:$DF$1,0))+1,0))</f>
        <v/>
      </c>
      <c r="J196" s="84"/>
      <c r="K196" s="84" t="s">
        <v>724</v>
      </c>
      <c r="L196" s="84" t="e">
        <f>IF(VLOOKUP('Gráficos Semanais'!$K196,' OVOS'!$G$1:$DF$311,(MATCH('Gráficos Semanais'!$D$12,' OVOS'!$H$1:$DF$1,0))+1,0)="","",VLOOKUP('Gráficos Semanais'!$K196,' OVOS'!$G$1:$DF$311,(MATCH('Gráficos Semanais'!$D$12,' OVOS'!$H$1:$DF$1,0))+1,0))</f>
        <v>#N/A</v>
      </c>
      <c r="M196" s="84" t="e" cm="1">
        <f t="array" ref="M196">_xlfn.IFS(L196="","",L196&lt;='Base de dados'!$K$2,'Base de dados'!$K$1,L196&lt;='Base de dados'!$L$3,'Base de dados'!$L$1,L196&lt;='Base de dados'!$M$3,'Base de dados'!$M$1,L196&gt;='Base de dados'!$N$2,'Base de dados'!$N$1)</f>
        <v>#N/A</v>
      </c>
      <c r="N196" s="84"/>
      <c r="O196" s="84"/>
    </row>
    <row r="197" spans="1:15" s="85" customFormat="1" x14ac:dyDescent="0.25">
      <c r="A197" s="47"/>
      <c r="B197" s="47"/>
      <c r="C197" s="47"/>
      <c r="D197" s="47"/>
      <c r="E197" s="47"/>
      <c r="F197" s="47"/>
      <c r="G197" s="47"/>
      <c r="H197" s="86" t="s">
        <v>202</v>
      </c>
      <c r="I197" s="86" t="str">
        <f>IF(VLOOKUP('Gráficos Semanais'!$H197,AVES!$G$1:$DF$311,(MATCH('Gráficos Semanais'!$D$12,AVES!$H$1:$DF$1,0))+1,0)="","",VLOOKUP('Gráficos Semanais'!$H197,AVES!$G$1:$DF$311,(MATCH('Gráficos Semanais'!$D$12,AVES!$H$1:$DF$1,0))+1,0))</f>
        <v/>
      </c>
      <c r="J197" s="84"/>
      <c r="K197" s="84" t="s">
        <v>725</v>
      </c>
      <c r="L197" s="84" t="e">
        <f>IF(VLOOKUP('Gráficos Semanais'!$K197,' OVOS'!$G$1:$DF$311,(MATCH('Gráficos Semanais'!$D$12,' OVOS'!$H$1:$DF$1,0))+1,0)="","",VLOOKUP('Gráficos Semanais'!$K197,' OVOS'!$G$1:$DF$311,(MATCH('Gráficos Semanais'!$D$12,' OVOS'!$H$1:$DF$1,0))+1,0))</f>
        <v>#N/A</v>
      </c>
      <c r="M197" s="84" t="e" cm="1">
        <f t="array" ref="M197">_xlfn.IFS(L197="","",L197&lt;='Base de dados'!$K$2,'Base de dados'!$K$1,L197&lt;='Base de dados'!$L$3,'Base de dados'!$L$1,L197&lt;='Base de dados'!$M$3,'Base de dados'!$M$1,L197&gt;='Base de dados'!$N$2,'Base de dados'!$N$1)</f>
        <v>#N/A</v>
      </c>
      <c r="N197" s="84"/>
      <c r="O197" s="84"/>
    </row>
    <row r="198" spans="1:15" s="85" customFormat="1" x14ac:dyDescent="0.25">
      <c r="A198" s="47"/>
      <c r="B198" s="47"/>
      <c r="C198" s="47"/>
      <c r="D198" s="47"/>
      <c r="E198" s="47"/>
      <c r="F198" s="47"/>
      <c r="G198" s="47"/>
      <c r="H198" s="86" t="s">
        <v>203</v>
      </c>
      <c r="I198" s="86" t="str">
        <f>IF(VLOOKUP('Gráficos Semanais'!$H198,AVES!$G$1:$DF$311,(MATCH('Gráficos Semanais'!$D$12,AVES!$H$1:$DF$1,0))+1,0)="","",VLOOKUP('Gráficos Semanais'!$H198,AVES!$G$1:$DF$311,(MATCH('Gráficos Semanais'!$D$12,AVES!$H$1:$DF$1,0))+1,0))</f>
        <v/>
      </c>
      <c r="J198" s="84"/>
      <c r="K198" s="84" t="s">
        <v>726</v>
      </c>
      <c r="L198" s="84" t="e">
        <f>IF(VLOOKUP('Gráficos Semanais'!$K198,' OVOS'!$G$1:$DF$311,(MATCH('Gráficos Semanais'!$D$12,' OVOS'!$H$1:$DF$1,0))+1,0)="","",VLOOKUP('Gráficos Semanais'!$K198,' OVOS'!$G$1:$DF$311,(MATCH('Gráficos Semanais'!$D$12,' OVOS'!$H$1:$DF$1,0))+1,0))</f>
        <v>#N/A</v>
      </c>
      <c r="M198" s="84" t="e" cm="1">
        <f t="array" ref="M198">_xlfn.IFS(L198="","",L198&lt;='Base de dados'!$K$2,'Base de dados'!$K$1,L198&lt;='Base de dados'!$L$3,'Base de dados'!$L$1,L198&lt;='Base de dados'!$M$3,'Base de dados'!$M$1,L198&gt;='Base de dados'!$N$2,'Base de dados'!$N$1)</f>
        <v>#N/A</v>
      </c>
      <c r="N198" s="84"/>
      <c r="O198" s="84"/>
    </row>
    <row r="199" spans="1:15" s="85" customFormat="1" x14ac:dyDescent="0.25">
      <c r="A199" s="47"/>
      <c r="B199" s="47"/>
      <c r="C199" s="47"/>
      <c r="D199" s="47"/>
      <c r="E199" s="47"/>
      <c r="F199" s="47"/>
      <c r="G199" s="47"/>
      <c r="H199" s="86" t="s">
        <v>204</v>
      </c>
      <c r="I199" s="86" t="str">
        <f>IF(VLOOKUP('Gráficos Semanais'!$H199,AVES!$G$1:$DF$311,(MATCH('Gráficos Semanais'!$D$12,AVES!$H$1:$DF$1,0))+1,0)="","",VLOOKUP('Gráficos Semanais'!$H199,AVES!$G$1:$DF$311,(MATCH('Gráficos Semanais'!$D$12,AVES!$H$1:$DF$1,0))+1,0))</f>
        <v/>
      </c>
      <c r="J199" s="84"/>
      <c r="K199" s="84" t="s">
        <v>727</v>
      </c>
      <c r="L199" s="84" t="e">
        <f>IF(VLOOKUP('Gráficos Semanais'!$K199,' OVOS'!$G$1:$DF$311,(MATCH('Gráficos Semanais'!$D$12,' OVOS'!$H$1:$DF$1,0))+1,0)="","",VLOOKUP('Gráficos Semanais'!$K199,' OVOS'!$G$1:$DF$311,(MATCH('Gráficos Semanais'!$D$12,' OVOS'!$H$1:$DF$1,0))+1,0))</f>
        <v>#N/A</v>
      </c>
      <c r="M199" s="84" t="e" cm="1">
        <f t="array" ref="M199">_xlfn.IFS(L199="","",L199&lt;='Base de dados'!$K$2,'Base de dados'!$K$1,L199&lt;='Base de dados'!$L$3,'Base de dados'!$L$1,L199&lt;='Base de dados'!$M$3,'Base de dados'!$M$1,L199&gt;='Base de dados'!$N$2,'Base de dados'!$N$1)</f>
        <v>#N/A</v>
      </c>
      <c r="N199" s="84"/>
      <c r="O199" s="84"/>
    </row>
    <row r="200" spans="1:15" s="85" customFormat="1" x14ac:dyDescent="0.25">
      <c r="A200" s="47"/>
      <c r="B200" s="47"/>
      <c r="C200" s="47"/>
      <c r="D200" s="47"/>
      <c r="E200" s="47"/>
      <c r="F200" s="47"/>
      <c r="G200" s="47"/>
      <c r="H200" s="86" t="s">
        <v>205</v>
      </c>
      <c r="I200" s="86" t="str">
        <f>IF(VLOOKUP('Gráficos Semanais'!$H200,AVES!$G$1:$DF$311,(MATCH('Gráficos Semanais'!$D$12,AVES!$H$1:$DF$1,0))+1,0)="","",VLOOKUP('Gráficos Semanais'!$H200,AVES!$G$1:$DF$311,(MATCH('Gráficos Semanais'!$D$12,AVES!$H$1:$DF$1,0))+1,0))</f>
        <v/>
      </c>
      <c r="J200" s="84"/>
      <c r="K200" s="84" t="s">
        <v>728</v>
      </c>
      <c r="L200" s="84" t="e">
        <f>IF(VLOOKUP('Gráficos Semanais'!$K200,' OVOS'!$G$1:$DF$311,(MATCH('Gráficos Semanais'!$D$12,' OVOS'!$H$1:$DF$1,0))+1,0)="","",VLOOKUP('Gráficos Semanais'!$K200,' OVOS'!$G$1:$DF$311,(MATCH('Gráficos Semanais'!$D$12,' OVOS'!$H$1:$DF$1,0))+1,0))</f>
        <v>#N/A</v>
      </c>
      <c r="M200" s="84" t="e" cm="1">
        <f t="array" ref="M200">_xlfn.IFS(L200="","",L200&lt;='Base de dados'!$K$2,'Base de dados'!$K$1,L200&lt;='Base de dados'!$L$3,'Base de dados'!$L$1,L200&lt;='Base de dados'!$M$3,'Base de dados'!$M$1,L200&gt;='Base de dados'!$N$2,'Base de dados'!$N$1)</f>
        <v>#N/A</v>
      </c>
      <c r="N200" s="84"/>
      <c r="O200" s="84"/>
    </row>
    <row r="201" spans="1:15" s="85" customFormat="1" x14ac:dyDescent="0.25">
      <c r="A201" s="47"/>
      <c r="B201" s="47"/>
      <c r="C201" s="47"/>
      <c r="D201" s="47"/>
      <c r="E201" s="47"/>
      <c r="F201" s="47"/>
      <c r="G201" s="47"/>
      <c r="H201" s="86" t="s">
        <v>206</v>
      </c>
      <c r="I201" s="86" t="str">
        <f>IF(VLOOKUP('Gráficos Semanais'!$H201,AVES!$G$1:$DF$311,(MATCH('Gráficos Semanais'!$D$12,AVES!$H$1:$DF$1,0))+1,0)="","",VLOOKUP('Gráficos Semanais'!$H201,AVES!$G$1:$DF$311,(MATCH('Gráficos Semanais'!$D$12,AVES!$H$1:$DF$1,0))+1,0))</f>
        <v/>
      </c>
      <c r="J201" s="84"/>
      <c r="K201" s="84" t="s">
        <v>729</v>
      </c>
      <c r="L201" s="84" t="e">
        <f>IF(VLOOKUP('Gráficos Semanais'!$K201,' OVOS'!$G$1:$DF$311,(MATCH('Gráficos Semanais'!$D$12,' OVOS'!$H$1:$DF$1,0))+1,0)="","",VLOOKUP('Gráficos Semanais'!$K201,' OVOS'!$G$1:$DF$311,(MATCH('Gráficos Semanais'!$D$12,' OVOS'!$H$1:$DF$1,0))+1,0))</f>
        <v>#N/A</v>
      </c>
      <c r="M201" s="84" t="e" cm="1">
        <f t="array" ref="M201">_xlfn.IFS(L201="","",L201&lt;='Base de dados'!$K$2,'Base de dados'!$K$1,L201&lt;='Base de dados'!$L$3,'Base de dados'!$L$1,L201&lt;='Base de dados'!$M$3,'Base de dados'!$M$1,L201&gt;='Base de dados'!$N$2,'Base de dados'!$N$1)</f>
        <v>#N/A</v>
      </c>
      <c r="N201" s="84"/>
      <c r="O201" s="84"/>
    </row>
    <row r="202" spans="1:15" s="85" customFormat="1" x14ac:dyDescent="0.25">
      <c r="A202" s="47"/>
      <c r="B202" s="47"/>
      <c r="C202" s="47"/>
      <c r="D202" s="47"/>
      <c r="E202" s="47"/>
      <c r="F202" s="47"/>
      <c r="G202" s="47"/>
      <c r="H202" s="86" t="s">
        <v>207</v>
      </c>
      <c r="I202" s="86" t="str">
        <f>IF(VLOOKUP('Gráficos Semanais'!$H202,AVES!$G$1:$DF$311,(MATCH('Gráficos Semanais'!$D$12,AVES!$H$1:$DF$1,0))+1,0)="","",VLOOKUP('Gráficos Semanais'!$H202,AVES!$G$1:$DF$311,(MATCH('Gráficos Semanais'!$D$12,AVES!$H$1:$DF$1,0))+1,0))</f>
        <v/>
      </c>
      <c r="J202" s="84"/>
      <c r="K202" s="84" t="s">
        <v>730</v>
      </c>
      <c r="L202" s="84" t="e">
        <f>IF(VLOOKUP('Gráficos Semanais'!$K202,' OVOS'!$G$1:$DF$311,(MATCH('Gráficos Semanais'!$D$12,' OVOS'!$H$1:$DF$1,0))+1,0)="","",VLOOKUP('Gráficos Semanais'!$K202,' OVOS'!$G$1:$DF$311,(MATCH('Gráficos Semanais'!$D$12,' OVOS'!$H$1:$DF$1,0))+1,0))</f>
        <v>#N/A</v>
      </c>
      <c r="M202" s="84" t="e" cm="1">
        <f t="array" ref="M202">_xlfn.IFS(L202="","",L202&lt;='Base de dados'!$K$2,'Base de dados'!$K$1,L202&lt;='Base de dados'!$L$3,'Base de dados'!$L$1,L202&lt;='Base de dados'!$M$3,'Base de dados'!$M$1,L202&gt;='Base de dados'!$N$2,'Base de dados'!$N$1)</f>
        <v>#N/A</v>
      </c>
      <c r="N202" s="84"/>
      <c r="O202" s="84"/>
    </row>
    <row r="203" spans="1:15" s="85" customFormat="1" x14ac:dyDescent="0.25">
      <c r="A203" s="47"/>
      <c r="B203" s="47"/>
      <c r="C203" s="47"/>
      <c r="D203" s="47"/>
      <c r="E203" s="47"/>
      <c r="F203" s="47"/>
      <c r="G203" s="47"/>
      <c r="H203" s="86" t="s">
        <v>208</v>
      </c>
      <c r="I203" s="86" t="str">
        <f>IF(VLOOKUP('Gráficos Semanais'!$H203,AVES!$G$1:$DF$311,(MATCH('Gráficos Semanais'!$D$12,AVES!$H$1:$DF$1,0))+1,0)="","",VLOOKUP('Gráficos Semanais'!$H203,AVES!$G$1:$DF$311,(MATCH('Gráficos Semanais'!$D$12,AVES!$H$1:$DF$1,0))+1,0))</f>
        <v/>
      </c>
      <c r="J203" s="84"/>
      <c r="K203" s="84" t="s">
        <v>731</v>
      </c>
      <c r="L203" s="84" t="e">
        <f>IF(VLOOKUP('Gráficos Semanais'!$K203,' OVOS'!$G$1:$DF$311,(MATCH('Gráficos Semanais'!$D$12,' OVOS'!$H$1:$DF$1,0))+1,0)="","",VLOOKUP('Gráficos Semanais'!$K203,' OVOS'!$G$1:$DF$311,(MATCH('Gráficos Semanais'!$D$12,' OVOS'!$H$1:$DF$1,0))+1,0))</f>
        <v>#N/A</v>
      </c>
      <c r="M203" s="84" t="e" cm="1">
        <f t="array" ref="M203">_xlfn.IFS(L203="","",L203&lt;='Base de dados'!$K$2,'Base de dados'!$K$1,L203&lt;='Base de dados'!$L$3,'Base de dados'!$L$1,L203&lt;='Base de dados'!$M$3,'Base de dados'!$M$1,L203&gt;='Base de dados'!$N$2,'Base de dados'!$N$1)</f>
        <v>#N/A</v>
      </c>
      <c r="N203" s="84"/>
      <c r="O203" s="84"/>
    </row>
    <row r="204" spans="1:15" s="85" customFormat="1" x14ac:dyDescent="0.25">
      <c r="A204" s="47"/>
      <c r="B204" s="47"/>
      <c r="C204" s="47"/>
      <c r="D204" s="47"/>
      <c r="E204" s="47"/>
      <c r="F204" s="47"/>
      <c r="G204" s="47"/>
      <c r="H204" s="86" t="s">
        <v>209</v>
      </c>
      <c r="I204" s="86" t="str">
        <f>IF(VLOOKUP('Gráficos Semanais'!$H204,AVES!$G$1:$DF$311,(MATCH('Gráficos Semanais'!$D$12,AVES!$H$1:$DF$1,0))+1,0)="","",VLOOKUP('Gráficos Semanais'!$H204,AVES!$G$1:$DF$311,(MATCH('Gráficos Semanais'!$D$12,AVES!$H$1:$DF$1,0))+1,0))</f>
        <v/>
      </c>
      <c r="J204" s="84"/>
      <c r="K204" s="84" t="s">
        <v>732</v>
      </c>
      <c r="L204" s="84" t="e">
        <f>IF(VLOOKUP('Gráficos Semanais'!$K204,' OVOS'!$G$1:$DF$311,(MATCH('Gráficos Semanais'!$D$12,' OVOS'!$H$1:$DF$1,0))+1,0)="","",VLOOKUP('Gráficos Semanais'!$K204,' OVOS'!$G$1:$DF$311,(MATCH('Gráficos Semanais'!$D$12,' OVOS'!$H$1:$DF$1,0))+1,0))</f>
        <v>#N/A</v>
      </c>
      <c r="M204" s="84" t="e" cm="1">
        <f t="array" ref="M204">_xlfn.IFS(L204="","",L204&lt;='Base de dados'!$K$2,'Base de dados'!$K$1,L204&lt;='Base de dados'!$L$3,'Base de dados'!$L$1,L204&lt;='Base de dados'!$M$3,'Base de dados'!$M$1,L204&gt;='Base de dados'!$N$2,'Base de dados'!$N$1)</f>
        <v>#N/A</v>
      </c>
      <c r="N204" s="84"/>
      <c r="O204" s="84"/>
    </row>
    <row r="205" spans="1:15" s="85" customFormat="1" x14ac:dyDescent="0.25">
      <c r="A205" s="47"/>
      <c r="B205" s="47"/>
      <c r="C205" s="47"/>
      <c r="D205" s="47"/>
      <c r="E205" s="47"/>
      <c r="F205" s="47"/>
      <c r="G205" s="47"/>
      <c r="H205" s="86" t="s">
        <v>210</v>
      </c>
      <c r="I205" s="86" t="str">
        <f>IF(VLOOKUP('Gráficos Semanais'!$H205,AVES!$G$1:$DF$311,(MATCH('Gráficos Semanais'!$D$12,AVES!$H$1:$DF$1,0))+1,0)="","",VLOOKUP('Gráficos Semanais'!$H205,AVES!$G$1:$DF$311,(MATCH('Gráficos Semanais'!$D$12,AVES!$H$1:$DF$1,0))+1,0))</f>
        <v/>
      </c>
      <c r="J205" s="84"/>
      <c r="K205" s="84" t="s">
        <v>733</v>
      </c>
      <c r="L205" s="84" t="e">
        <f>IF(VLOOKUP('Gráficos Semanais'!$K205,' OVOS'!$G$1:$DF$311,(MATCH('Gráficos Semanais'!$D$12,' OVOS'!$H$1:$DF$1,0))+1,0)="","",VLOOKUP('Gráficos Semanais'!$K205,' OVOS'!$G$1:$DF$311,(MATCH('Gráficos Semanais'!$D$12,' OVOS'!$H$1:$DF$1,0))+1,0))</f>
        <v>#N/A</v>
      </c>
      <c r="M205" s="84" t="e" cm="1">
        <f t="array" ref="M205">_xlfn.IFS(L205="","",L205&lt;='Base de dados'!$K$2,'Base de dados'!$K$1,L205&lt;='Base de dados'!$L$3,'Base de dados'!$L$1,L205&lt;='Base de dados'!$M$3,'Base de dados'!$M$1,L205&gt;='Base de dados'!$N$2,'Base de dados'!$N$1)</f>
        <v>#N/A</v>
      </c>
      <c r="N205" s="84"/>
      <c r="O205" s="84"/>
    </row>
    <row r="206" spans="1:15" s="85" customFormat="1" x14ac:dyDescent="0.25">
      <c r="A206" s="47"/>
      <c r="B206" s="47"/>
      <c r="C206" s="47"/>
      <c r="D206" s="47"/>
      <c r="E206" s="47"/>
      <c r="F206" s="47"/>
      <c r="G206" s="47"/>
      <c r="H206" s="86" t="s">
        <v>211</v>
      </c>
      <c r="I206" s="86" t="str">
        <f>IF(VLOOKUP('Gráficos Semanais'!$H206,AVES!$G$1:$DF$311,(MATCH('Gráficos Semanais'!$D$12,AVES!$H$1:$DF$1,0))+1,0)="","",VLOOKUP('Gráficos Semanais'!$H206,AVES!$G$1:$DF$311,(MATCH('Gráficos Semanais'!$D$12,AVES!$H$1:$DF$1,0))+1,0))</f>
        <v/>
      </c>
      <c r="J206" s="84"/>
      <c r="K206" s="84" t="s">
        <v>734</v>
      </c>
      <c r="L206" s="84" t="e">
        <f>IF(VLOOKUP('Gráficos Semanais'!$K206,' OVOS'!$G$1:$DF$311,(MATCH('Gráficos Semanais'!$D$12,' OVOS'!$H$1:$DF$1,0))+1,0)="","",VLOOKUP('Gráficos Semanais'!$K206,' OVOS'!$G$1:$DF$311,(MATCH('Gráficos Semanais'!$D$12,' OVOS'!$H$1:$DF$1,0))+1,0))</f>
        <v>#N/A</v>
      </c>
      <c r="M206" s="84" t="e" cm="1">
        <f t="array" ref="M206">_xlfn.IFS(L206="","",L206&lt;='Base de dados'!$K$2,'Base de dados'!$K$1,L206&lt;='Base de dados'!$L$3,'Base de dados'!$L$1,L206&lt;='Base de dados'!$M$3,'Base de dados'!$M$1,L206&gt;='Base de dados'!$N$2,'Base de dados'!$N$1)</f>
        <v>#N/A</v>
      </c>
      <c r="N206" s="84"/>
      <c r="O206" s="84"/>
    </row>
    <row r="207" spans="1:15" s="85" customFormat="1" x14ac:dyDescent="0.25">
      <c r="A207" s="47"/>
      <c r="B207" s="47"/>
      <c r="C207" s="47"/>
      <c r="D207" s="47"/>
      <c r="E207" s="47"/>
      <c r="F207" s="47"/>
      <c r="G207" s="47"/>
      <c r="H207" s="86" t="s">
        <v>212</v>
      </c>
      <c r="I207" s="86" t="str">
        <f>IF(VLOOKUP('Gráficos Semanais'!$H207,AVES!$G$1:$DF$311,(MATCH('Gráficos Semanais'!$D$12,AVES!$H$1:$DF$1,0))+1,0)="","",VLOOKUP('Gráficos Semanais'!$H207,AVES!$G$1:$DF$311,(MATCH('Gráficos Semanais'!$D$12,AVES!$H$1:$DF$1,0))+1,0))</f>
        <v/>
      </c>
      <c r="J207" s="84"/>
      <c r="K207" s="84" t="s">
        <v>735</v>
      </c>
      <c r="L207" s="84" t="e">
        <f>IF(VLOOKUP('Gráficos Semanais'!$K207,' OVOS'!$G$1:$DF$311,(MATCH('Gráficos Semanais'!$D$12,' OVOS'!$H$1:$DF$1,0))+1,0)="","",VLOOKUP('Gráficos Semanais'!$K207,' OVOS'!$G$1:$DF$311,(MATCH('Gráficos Semanais'!$D$12,' OVOS'!$H$1:$DF$1,0))+1,0))</f>
        <v>#N/A</v>
      </c>
      <c r="M207" s="84" t="e" cm="1">
        <f t="array" ref="M207">_xlfn.IFS(L207="","",L207&lt;='Base de dados'!$K$2,'Base de dados'!$K$1,L207&lt;='Base de dados'!$L$3,'Base de dados'!$L$1,L207&lt;='Base de dados'!$M$3,'Base de dados'!$M$1,L207&gt;='Base de dados'!$N$2,'Base de dados'!$N$1)</f>
        <v>#N/A</v>
      </c>
      <c r="N207" s="84"/>
      <c r="O207" s="84"/>
    </row>
    <row r="208" spans="1:15" s="85" customFormat="1" x14ac:dyDescent="0.25">
      <c r="A208" s="47"/>
      <c r="B208" s="47"/>
      <c r="C208" s="47"/>
      <c r="D208" s="47"/>
      <c r="E208" s="47"/>
      <c r="F208" s="47"/>
      <c r="G208" s="47"/>
      <c r="H208" s="86" t="s">
        <v>213</v>
      </c>
      <c r="I208" s="86" t="str">
        <f>IF(VLOOKUP('Gráficos Semanais'!$H208,AVES!$G$1:$DF$311,(MATCH('Gráficos Semanais'!$D$12,AVES!$H$1:$DF$1,0))+1,0)="","",VLOOKUP('Gráficos Semanais'!$H208,AVES!$G$1:$DF$311,(MATCH('Gráficos Semanais'!$D$12,AVES!$H$1:$DF$1,0))+1,0))</f>
        <v/>
      </c>
      <c r="J208" s="84"/>
      <c r="K208" s="84" t="s">
        <v>736</v>
      </c>
      <c r="L208" s="84" t="e">
        <f>IF(VLOOKUP('Gráficos Semanais'!$K208,' OVOS'!$G$1:$DF$311,(MATCH('Gráficos Semanais'!$D$12,' OVOS'!$H$1:$DF$1,0))+1,0)="","",VLOOKUP('Gráficos Semanais'!$K208,' OVOS'!$G$1:$DF$311,(MATCH('Gráficos Semanais'!$D$12,' OVOS'!$H$1:$DF$1,0))+1,0))</f>
        <v>#N/A</v>
      </c>
      <c r="M208" s="84" t="e" cm="1">
        <f t="array" ref="M208">_xlfn.IFS(L208="","",L208&lt;='Base de dados'!$K$2,'Base de dados'!$K$1,L208&lt;='Base de dados'!$L$3,'Base de dados'!$L$1,L208&lt;='Base de dados'!$M$3,'Base de dados'!$M$1,L208&gt;='Base de dados'!$N$2,'Base de dados'!$N$1)</f>
        <v>#N/A</v>
      </c>
      <c r="N208" s="84"/>
      <c r="O208" s="84"/>
    </row>
    <row r="209" spans="1:15" s="85" customFormat="1" x14ac:dyDescent="0.25">
      <c r="A209" s="47"/>
      <c r="B209" s="47"/>
      <c r="C209" s="47"/>
      <c r="D209" s="47"/>
      <c r="E209" s="47"/>
      <c r="F209" s="47"/>
      <c r="G209" s="47"/>
      <c r="H209" s="86" t="s">
        <v>214</v>
      </c>
      <c r="I209" s="86" t="str">
        <f>IF(VLOOKUP('Gráficos Semanais'!$H209,AVES!$G$1:$DF$311,(MATCH('Gráficos Semanais'!$D$12,AVES!$H$1:$DF$1,0))+1,0)="","",VLOOKUP('Gráficos Semanais'!$H209,AVES!$G$1:$DF$311,(MATCH('Gráficos Semanais'!$D$12,AVES!$H$1:$DF$1,0))+1,0))</f>
        <v/>
      </c>
      <c r="J209" s="84"/>
      <c r="K209" s="84" t="s">
        <v>737</v>
      </c>
      <c r="L209" s="84" t="e">
        <f>IF(VLOOKUP('Gráficos Semanais'!$K209,' OVOS'!$G$1:$DF$311,(MATCH('Gráficos Semanais'!$D$12,' OVOS'!$H$1:$DF$1,0))+1,0)="","",VLOOKUP('Gráficos Semanais'!$K209,' OVOS'!$G$1:$DF$311,(MATCH('Gráficos Semanais'!$D$12,' OVOS'!$H$1:$DF$1,0))+1,0))</f>
        <v>#N/A</v>
      </c>
      <c r="M209" s="84" t="e" cm="1">
        <f t="array" ref="M209">_xlfn.IFS(L209="","",L209&lt;='Base de dados'!$K$2,'Base de dados'!$K$1,L209&lt;='Base de dados'!$L$3,'Base de dados'!$L$1,L209&lt;='Base de dados'!$M$3,'Base de dados'!$M$1,L209&gt;='Base de dados'!$N$2,'Base de dados'!$N$1)</f>
        <v>#N/A</v>
      </c>
      <c r="N209" s="84"/>
      <c r="O209" s="84"/>
    </row>
    <row r="210" spans="1:15" s="85" customFormat="1" x14ac:dyDescent="0.25">
      <c r="A210" s="47"/>
      <c r="B210" s="47"/>
      <c r="C210" s="47"/>
      <c r="D210" s="47"/>
      <c r="E210" s="47"/>
      <c r="F210" s="47"/>
      <c r="G210" s="47"/>
      <c r="H210" s="86" t="s">
        <v>215</v>
      </c>
      <c r="I210" s="86" t="str">
        <f>IF(VLOOKUP('Gráficos Semanais'!$H210,AVES!$G$1:$DF$311,(MATCH('Gráficos Semanais'!$D$12,AVES!$H$1:$DF$1,0))+1,0)="","",VLOOKUP('Gráficos Semanais'!$H210,AVES!$G$1:$DF$311,(MATCH('Gráficos Semanais'!$D$12,AVES!$H$1:$DF$1,0))+1,0))</f>
        <v/>
      </c>
      <c r="J210" s="84"/>
      <c r="K210" s="84" t="s">
        <v>738</v>
      </c>
      <c r="L210" s="84" t="e">
        <f>IF(VLOOKUP('Gráficos Semanais'!$K210,' OVOS'!$G$1:$DF$311,(MATCH('Gráficos Semanais'!$D$12,' OVOS'!$H$1:$DF$1,0))+1,0)="","",VLOOKUP('Gráficos Semanais'!$K210,' OVOS'!$G$1:$DF$311,(MATCH('Gráficos Semanais'!$D$12,' OVOS'!$H$1:$DF$1,0))+1,0))</f>
        <v>#N/A</v>
      </c>
      <c r="M210" s="84" t="e" cm="1">
        <f t="array" ref="M210">_xlfn.IFS(L210="","",L210&lt;='Base de dados'!$K$2,'Base de dados'!$K$1,L210&lt;='Base de dados'!$L$3,'Base de dados'!$L$1,L210&lt;='Base de dados'!$M$3,'Base de dados'!$M$1,L210&gt;='Base de dados'!$N$2,'Base de dados'!$N$1)</f>
        <v>#N/A</v>
      </c>
      <c r="N210" s="84"/>
      <c r="O210" s="84"/>
    </row>
    <row r="211" spans="1:15" s="85" customFormat="1" x14ac:dyDescent="0.25">
      <c r="A211" s="47"/>
      <c r="B211" s="47"/>
      <c r="C211" s="47"/>
      <c r="D211" s="47"/>
      <c r="E211" s="47"/>
      <c r="F211" s="47"/>
      <c r="G211" s="47"/>
      <c r="H211" s="86" t="s">
        <v>216</v>
      </c>
      <c r="I211" s="86" t="str">
        <f>IF(VLOOKUP('Gráficos Semanais'!$H211,AVES!$G$1:$DF$311,(MATCH('Gráficos Semanais'!$D$12,AVES!$H$1:$DF$1,0))+1,0)="","",VLOOKUP('Gráficos Semanais'!$H211,AVES!$G$1:$DF$311,(MATCH('Gráficos Semanais'!$D$12,AVES!$H$1:$DF$1,0))+1,0))</f>
        <v/>
      </c>
      <c r="J211" s="84"/>
      <c r="K211" s="84" t="s">
        <v>739</v>
      </c>
      <c r="L211" s="84" t="e">
        <f>IF(VLOOKUP('Gráficos Semanais'!$K211,' OVOS'!$G$1:$DF$311,(MATCH('Gráficos Semanais'!$D$12,' OVOS'!$H$1:$DF$1,0))+1,0)="","",VLOOKUP('Gráficos Semanais'!$K211,' OVOS'!$G$1:$DF$311,(MATCH('Gráficos Semanais'!$D$12,' OVOS'!$H$1:$DF$1,0))+1,0))</f>
        <v>#N/A</v>
      </c>
      <c r="M211" s="84" t="e" cm="1">
        <f t="array" ref="M211">_xlfn.IFS(L211="","",L211&lt;='Base de dados'!$K$2,'Base de dados'!$K$1,L211&lt;='Base de dados'!$L$3,'Base de dados'!$L$1,L211&lt;='Base de dados'!$M$3,'Base de dados'!$M$1,L211&gt;='Base de dados'!$N$2,'Base de dados'!$N$1)</f>
        <v>#N/A</v>
      </c>
      <c r="N211" s="84"/>
      <c r="O211" s="84"/>
    </row>
    <row r="212" spans="1:15" s="85" customFormat="1" x14ac:dyDescent="0.25">
      <c r="A212" s="47"/>
      <c r="B212" s="47"/>
      <c r="C212" s="47"/>
      <c r="D212" s="47"/>
      <c r="E212" s="47"/>
      <c r="F212" s="47"/>
      <c r="G212" s="47"/>
      <c r="H212" s="86" t="s">
        <v>217</v>
      </c>
      <c r="I212" s="86" t="str">
        <f>IF(VLOOKUP('Gráficos Semanais'!$H212,AVES!$G$1:$DF$311,(MATCH('Gráficos Semanais'!$D$12,AVES!$H$1:$DF$1,0))+1,0)="","",VLOOKUP('Gráficos Semanais'!$H212,AVES!$G$1:$DF$311,(MATCH('Gráficos Semanais'!$D$12,AVES!$H$1:$DF$1,0))+1,0))</f>
        <v/>
      </c>
      <c r="J212" s="84"/>
      <c r="K212" s="84" t="s">
        <v>740</v>
      </c>
      <c r="L212" s="84" t="e">
        <f>IF(VLOOKUP('Gráficos Semanais'!$K212,' OVOS'!$G$1:$DF$311,(MATCH('Gráficos Semanais'!$D$12,' OVOS'!$H$1:$DF$1,0))+1,0)="","",VLOOKUP('Gráficos Semanais'!$K212,' OVOS'!$G$1:$DF$311,(MATCH('Gráficos Semanais'!$D$12,' OVOS'!$H$1:$DF$1,0))+1,0))</f>
        <v>#N/A</v>
      </c>
      <c r="M212" s="84" t="e" cm="1">
        <f t="array" ref="M212">_xlfn.IFS(L212="","",L212&lt;='Base de dados'!$K$2,'Base de dados'!$K$1,L212&lt;='Base de dados'!$L$3,'Base de dados'!$L$1,L212&lt;='Base de dados'!$M$3,'Base de dados'!$M$1,L212&gt;='Base de dados'!$N$2,'Base de dados'!$N$1)</f>
        <v>#N/A</v>
      </c>
      <c r="N212" s="84"/>
      <c r="O212" s="84"/>
    </row>
    <row r="213" spans="1:15" s="85" customFormat="1" x14ac:dyDescent="0.25">
      <c r="A213" s="47"/>
      <c r="B213" s="47"/>
      <c r="C213" s="47"/>
      <c r="D213" s="47"/>
      <c r="E213" s="47"/>
      <c r="F213" s="47"/>
      <c r="G213" s="47"/>
      <c r="H213" s="86" t="s">
        <v>218</v>
      </c>
      <c r="I213" s="86" t="str">
        <f>IF(VLOOKUP('Gráficos Semanais'!$H213,AVES!$G$1:$DF$311,(MATCH('Gráficos Semanais'!$D$12,AVES!$H$1:$DF$1,0))+1,0)="","",VLOOKUP('Gráficos Semanais'!$H213,AVES!$G$1:$DF$311,(MATCH('Gráficos Semanais'!$D$12,AVES!$H$1:$DF$1,0))+1,0))</f>
        <v/>
      </c>
      <c r="J213" s="84"/>
      <c r="K213" s="84" t="s">
        <v>741</v>
      </c>
      <c r="L213" s="84" t="e">
        <f>IF(VLOOKUP('Gráficos Semanais'!$K213,' OVOS'!$G$1:$DF$311,(MATCH('Gráficos Semanais'!$D$12,' OVOS'!$H$1:$DF$1,0))+1,0)="","",VLOOKUP('Gráficos Semanais'!$K213,' OVOS'!$G$1:$DF$311,(MATCH('Gráficos Semanais'!$D$12,' OVOS'!$H$1:$DF$1,0))+1,0))</f>
        <v>#N/A</v>
      </c>
      <c r="M213" s="84" t="e" cm="1">
        <f t="array" ref="M213">_xlfn.IFS(L213="","",L213&lt;='Base de dados'!$K$2,'Base de dados'!$K$1,L213&lt;='Base de dados'!$L$3,'Base de dados'!$L$1,L213&lt;='Base de dados'!$M$3,'Base de dados'!$M$1,L213&gt;='Base de dados'!$N$2,'Base de dados'!$N$1)</f>
        <v>#N/A</v>
      </c>
      <c r="N213" s="84"/>
      <c r="O213" s="84"/>
    </row>
    <row r="214" spans="1:15" s="85" customFormat="1" x14ac:dyDescent="0.25">
      <c r="A214" s="47"/>
      <c r="B214" s="47"/>
      <c r="C214" s="47"/>
      <c r="D214" s="47"/>
      <c r="E214" s="47"/>
      <c r="F214" s="47"/>
      <c r="G214" s="47"/>
      <c r="H214" s="86" t="s">
        <v>219</v>
      </c>
      <c r="I214" s="86" t="str">
        <f>IF(VLOOKUP('Gráficos Semanais'!$H214,AVES!$G$1:$DF$311,(MATCH('Gráficos Semanais'!$D$12,AVES!$H$1:$DF$1,0))+1,0)="","",VLOOKUP('Gráficos Semanais'!$H214,AVES!$G$1:$DF$311,(MATCH('Gráficos Semanais'!$D$12,AVES!$H$1:$DF$1,0))+1,0))</f>
        <v/>
      </c>
      <c r="J214" s="84"/>
      <c r="K214" s="84" t="s">
        <v>742</v>
      </c>
      <c r="L214" s="84" t="e">
        <f>IF(VLOOKUP('Gráficos Semanais'!$K214,' OVOS'!$G$1:$DF$311,(MATCH('Gráficos Semanais'!$D$12,' OVOS'!$H$1:$DF$1,0))+1,0)="","",VLOOKUP('Gráficos Semanais'!$K214,' OVOS'!$G$1:$DF$311,(MATCH('Gráficos Semanais'!$D$12,' OVOS'!$H$1:$DF$1,0))+1,0))</f>
        <v>#N/A</v>
      </c>
      <c r="M214" s="84" t="e" cm="1">
        <f t="array" ref="M214">_xlfn.IFS(L214="","",L214&lt;='Base de dados'!$K$2,'Base de dados'!$K$1,L214&lt;='Base de dados'!$L$3,'Base de dados'!$L$1,L214&lt;='Base de dados'!$M$3,'Base de dados'!$M$1,L214&gt;='Base de dados'!$N$2,'Base de dados'!$N$1)</f>
        <v>#N/A</v>
      </c>
      <c r="N214" s="84"/>
      <c r="O214" s="84"/>
    </row>
    <row r="215" spans="1:15" s="85" customFormat="1" x14ac:dyDescent="0.25">
      <c r="A215" s="47"/>
      <c r="B215" s="47"/>
      <c r="C215" s="47"/>
      <c r="D215" s="47"/>
      <c r="E215" s="47"/>
      <c r="F215" s="47"/>
      <c r="G215" s="47"/>
      <c r="H215" s="86" t="s">
        <v>220</v>
      </c>
      <c r="I215" s="86" t="str">
        <f>IF(VLOOKUP('Gráficos Semanais'!$H215,AVES!$G$1:$DF$311,(MATCH('Gráficos Semanais'!$D$12,AVES!$H$1:$DF$1,0))+1,0)="","",VLOOKUP('Gráficos Semanais'!$H215,AVES!$G$1:$DF$311,(MATCH('Gráficos Semanais'!$D$12,AVES!$H$1:$DF$1,0))+1,0))</f>
        <v/>
      </c>
      <c r="J215" s="84"/>
      <c r="K215" s="84" t="s">
        <v>743</v>
      </c>
      <c r="L215" s="84" t="e">
        <f>IF(VLOOKUP('Gráficos Semanais'!$K215,' OVOS'!$G$1:$DF$311,(MATCH('Gráficos Semanais'!$D$12,' OVOS'!$H$1:$DF$1,0))+1,0)="","",VLOOKUP('Gráficos Semanais'!$K215,' OVOS'!$G$1:$DF$311,(MATCH('Gráficos Semanais'!$D$12,' OVOS'!$H$1:$DF$1,0))+1,0))</f>
        <v>#N/A</v>
      </c>
      <c r="M215" s="84" t="e" cm="1">
        <f t="array" ref="M215">_xlfn.IFS(L215="","",L215&lt;='Base de dados'!$K$2,'Base de dados'!$K$1,L215&lt;='Base de dados'!$L$3,'Base de dados'!$L$1,L215&lt;='Base de dados'!$M$3,'Base de dados'!$M$1,L215&gt;='Base de dados'!$N$2,'Base de dados'!$N$1)</f>
        <v>#N/A</v>
      </c>
      <c r="N215" s="84"/>
      <c r="O215" s="84"/>
    </row>
    <row r="216" spans="1:15" s="85" customFormat="1" x14ac:dyDescent="0.25">
      <c r="A216" s="47"/>
      <c r="B216" s="47"/>
      <c r="C216" s="47"/>
      <c r="D216" s="47"/>
      <c r="E216" s="47"/>
      <c r="F216" s="47"/>
      <c r="G216" s="47"/>
      <c r="H216" s="86" t="s">
        <v>221</v>
      </c>
      <c r="I216" s="86" t="str">
        <f>IF(VLOOKUP('Gráficos Semanais'!$H216,AVES!$G$1:$DF$311,(MATCH('Gráficos Semanais'!$D$12,AVES!$H$1:$DF$1,0))+1,0)="","",VLOOKUP('Gráficos Semanais'!$H216,AVES!$G$1:$DF$311,(MATCH('Gráficos Semanais'!$D$12,AVES!$H$1:$DF$1,0))+1,0))</f>
        <v/>
      </c>
      <c r="J216" s="84"/>
      <c r="K216" s="84" t="s">
        <v>744</v>
      </c>
      <c r="L216" s="84" t="e">
        <f>IF(VLOOKUP('Gráficos Semanais'!$K216,' OVOS'!$G$1:$DF$311,(MATCH('Gráficos Semanais'!$D$12,' OVOS'!$H$1:$DF$1,0))+1,0)="","",VLOOKUP('Gráficos Semanais'!$K216,' OVOS'!$G$1:$DF$311,(MATCH('Gráficos Semanais'!$D$12,' OVOS'!$H$1:$DF$1,0))+1,0))</f>
        <v>#N/A</v>
      </c>
      <c r="M216" s="84" t="e" cm="1">
        <f t="array" ref="M216">_xlfn.IFS(L216="","",L216&lt;='Base de dados'!$K$2,'Base de dados'!$K$1,L216&lt;='Base de dados'!$L$3,'Base de dados'!$L$1,L216&lt;='Base de dados'!$M$3,'Base de dados'!$M$1,L216&gt;='Base de dados'!$N$2,'Base de dados'!$N$1)</f>
        <v>#N/A</v>
      </c>
      <c r="N216" s="84"/>
      <c r="O216" s="84"/>
    </row>
    <row r="217" spans="1:15" s="85" customFormat="1" x14ac:dyDescent="0.25">
      <c r="A217" s="47"/>
      <c r="B217" s="47"/>
      <c r="C217" s="47"/>
      <c r="D217" s="47"/>
      <c r="E217" s="47"/>
      <c r="F217" s="47"/>
      <c r="G217" s="47"/>
      <c r="H217" s="86" t="s">
        <v>222</v>
      </c>
      <c r="I217" s="86" t="str">
        <f>IF(VLOOKUP('Gráficos Semanais'!$H217,AVES!$G$1:$DF$311,(MATCH('Gráficos Semanais'!$D$12,AVES!$H$1:$DF$1,0))+1,0)="","",VLOOKUP('Gráficos Semanais'!$H217,AVES!$G$1:$DF$311,(MATCH('Gráficos Semanais'!$D$12,AVES!$H$1:$DF$1,0))+1,0))</f>
        <v/>
      </c>
      <c r="J217" s="84"/>
      <c r="K217" s="84" t="s">
        <v>745</v>
      </c>
      <c r="L217" s="84" t="e">
        <f>IF(VLOOKUP('Gráficos Semanais'!$K217,' OVOS'!$G$1:$DF$311,(MATCH('Gráficos Semanais'!$D$12,' OVOS'!$H$1:$DF$1,0))+1,0)="","",VLOOKUP('Gráficos Semanais'!$K217,' OVOS'!$G$1:$DF$311,(MATCH('Gráficos Semanais'!$D$12,' OVOS'!$H$1:$DF$1,0))+1,0))</f>
        <v>#N/A</v>
      </c>
      <c r="M217" s="84" t="e" cm="1">
        <f t="array" ref="M217">_xlfn.IFS(L217="","",L217&lt;='Base de dados'!$K$2,'Base de dados'!$K$1,L217&lt;='Base de dados'!$L$3,'Base de dados'!$L$1,L217&lt;='Base de dados'!$M$3,'Base de dados'!$M$1,L217&gt;='Base de dados'!$N$2,'Base de dados'!$N$1)</f>
        <v>#N/A</v>
      </c>
      <c r="N217" s="84"/>
      <c r="O217" s="84"/>
    </row>
    <row r="218" spans="1:15" s="85" customFormat="1" x14ac:dyDescent="0.25">
      <c r="A218" s="47"/>
      <c r="B218" s="47"/>
      <c r="C218" s="47"/>
      <c r="D218" s="47"/>
      <c r="E218" s="47"/>
      <c r="F218" s="47"/>
      <c r="G218" s="47"/>
      <c r="H218" s="86" t="s">
        <v>223</v>
      </c>
      <c r="I218" s="86" t="str">
        <f>IF(VLOOKUP('Gráficos Semanais'!$H218,AVES!$G$1:$DF$311,(MATCH('Gráficos Semanais'!$D$12,AVES!$H$1:$DF$1,0))+1,0)="","",VLOOKUP('Gráficos Semanais'!$H218,AVES!$G$1:$DF$311,(MATCH('Gráficos Semanais'!$D$12,AVES!$H$1:$DF$1,0))+1,0))</f>
        <v/>
      </c>
      <c r="J218" s="84"/>
      <c r="K218" s="84" t="s">
        <v>746</v>
      </c>
      <c r="L218" s="84" t="e">
        <f>IF(VLOOKUP('Gráficos Semanais'!$K218,' OVOS'!$G$1:$DF$311,(MATCH('Gráficos Semanais'!$D$12,' OVOS'!$H$1:$DF$1,0))+1,0)="","",VLOOKUP('Gráficos Semanais'!$K218,' OVOS'!$G$1:$DF$311,(MATCH('Gráficos Semanais'!$D$12,' OVOS'!$H$1:$DF$1,0))+1,0))</f>
        <v>#N/A</v>
      </c>
      <c r="M218" s="84" t="e" cm="1">
        <f t="array" ref="M218">_xlfn.IFS(L218="","",L218&lt;='Base de dados'!$K$2,'Base de dados'!$K$1,L218&lt;='Base de dados'!$L$3,'Base de dados'!$L$1,L218&lt;='Base de dados'!$M$3,'Base de dados'!$M$1,L218&gt;='Base de dados'!$N$2,'Base de dados'!$N$1)</f>
        <v>#N/A</v>
      </c>
      <c r="N218" s="84"/>
      <c r="O218" s="84"/>
    </row>
    <row r="219" spans="1:15" s="85" customFormat="1" x14ac:dyDescent="0.25">
      <c r="A219" s="47"/>
      <c r="B219" s="47"/>
      <c r="C219" s="47"/>
      <c r="D219" s="47"/>
      <c r="E219" s="47"/>
      <c r="F219" s="47"/>
      <c r="G219" s="47"/>
      <c r="H219" s="86" t="s">
        <v>224</v>
      </c>
      <c r="I219" s="86" t="str">
        <f>IF(VLOOKUP('Gráficos Semanais'!$H219,AVES!$G$1:$DF$311,(MATCH('Gráficos Semanais'!$D$12,AVES!$H$1:$DF$1,0))+1,0)="","",VLOOKUP('Gráficos Semanais'!$H219,AVES!$G$1:$DF$311,(MATCH('Gráficos Semanais'!$D$12,AVES!$H$1:$DF$1,0))+1,0))</f>
        <v/>
      </c>
      <c r="J219" s="84"/>
      <c r="K219" s="84" t="s">
        <v>747</v>
      </c>
      <c r="L219" s="84" t="e">
        <f>IF(VLOOKUP('Gráficos Semanais'!$K219,' OVOS'!$G$1:$DF$311,(MATCH('Gráficos Semanais'!$D$12,' OVOS'!$H$1:$DF$1,0))+1,0)="","",VLOOKUP('Gráficos Semanais'!$K219,' OVOS'!$G$1:$DF$311,(MATCH('Gráficos Semanais'!$D$12,' OVOS'!$H$1:$DF$1,0))+1,0))</f>
        <v>#N/A</v>
      </c>
      <c r="M219" s="84" t="e" cm="1">
        <f t="array" ref="M219">_xlfn.IFS(L219="","",L219&lt;='Base de dados'!$K$2,'Base de dados'!$K$1,L219&lt;='Base de dados'!$L$3,'Base de dados'!$L$1,L219&lt;='Base de dados'!$M$3,'Base de dados'!$M$1,L219&gt;='Base de dados'!$N$2,'Base de dados'!$N$1)</f>
        <v>#N/A</v>
      </c>
      <c r="N219" s="84"/>
      <c r="O219" s="84"/>
    </row>
    <row r="220" spans="1:15" s="85" customFormat="1" x14ac:dyDescent="0.25">
      <c r="A220" s="47"/>
      <c r="B220" s="47"/>
      <c r="C220" s="47"/>
      <c r="D220" s="47"/>
      <c r="E220" s="47"/>
      <c r="F220" s="47"/>
      <c r="G220" s="47"/>
      <c r="H220" s="86" t="s">
        <v>225</v>
      </c>
      <c r="I220" s="86" t="str">
        <f>IF(VLOOKUP('Gráficos Semanais'!$H220,AVES!$G$1:$DF$311,(MATCH('Gráficos Semanais'!$D$12,AVES!$H$1:$DF$1,0))+1,0)="","",VLOOKUP('Gráficos Semanais'!$H220,AVES!$G$1:$DF$311,(MATCH('Gráficos Semanais'!$D$12,AVES!$H$1:$DF$1,0))+1,0))</f>
        <v/>
      </c>
      <c r="J220" s="84"/>
      <c r="K220" s="84" t="s">
        <v>748</v>
      </c>
      <c r="L220" s="84" t="e">
        <f>IF(VLOOKUP('Gráficos Semanais'!$K220,' OVOS'!$G$1:$DF$311,(MATCH('Gráficos Semanais'!$D$12,' OVOS'!$H$1:$DF$1,0))+1,0)="","",VLOOKUP('Gráficos Semanais'!$K220,' OVOS'!$G$1:$DF$311,(MATCH('Gráficos Semanais'!$D$12,' OVOS'!$H$1:$DF$1,0))+1,0))</f>
        <v>#N/A</v>
      </c>
      <c r="M220" s="84" t="e" cm="1">
        <f t="array" ref="M220">_xlfn.IFS(L220="","",L220&lt;='Base de dados'!$K$2,'Base de dados'!$K$1,L220&lt;='Base de dados'!$L$3,'Base de dados'!$L$1,L220&lt;='Base de dados'!$M$3,'Base de dados'!$M$1,L220&gt;='Base de dados'!$N$2,'Base de dados'!$N$1)</f>
        <v>#N/A</v>
      </c>
      <c r="N220" s="84"/>
      <c r="O220" s="84"/>
    </row>
    <row r="221" spans="1:15" s="85" customFormat="1" x14ac:dyDescent="0.25">
      <c r="A221" s="47"/>
      <c r="B221" s="47"/>
      <c r="C221" s="47"/>
      <c r="D221" s="47"/>
      <c r="E221" s="47"/>
      <c r="F221" s="47"/>
      <c r="G221" s="47"/>
      <c r="H221" s="86" t="s">
        <v>226</v>
      </c>
      <c r="I221" s="86" t="str">
        <f>IF(VLOOKUP('Gráficos Semanais'!$H221,AVES!$G$1:$DF$311,(MATCH('Gráficos Semanais'!$D$12,AVES!$H$1:$DF$1,0))+1,0)="","",VLOOKUP('Gráficos Semanais'!$H221,AVES!$G$1:$DF$311,(MATCH('Gráficos Semanais'!$D$12,AVES!$H$1:$DF$1,0))+1,0))</f>
        <v/>
      </c>
      <c r="J221" s="84"/>
      <c r="K221" s="84" t="s">
        <v>749</v>
      </c>
      <c r="L221" s="84" t="e">
        <f>IF(VLOOKUP('Gráficos Semanais'!$K221,' OVOS'!$G$1:$DF$311,(MATCH('Gráficos Semanais'!$D$12,' OVOS'!$H$1:$DF$1,0))+1,0)="","",VLOOKUP('Gráficos Semanais'!$K221,' OVOS'!$G$1:$DF$311,(MATCH('Gráficos Semanais'!$D$12,' OVOS'!$H$1:$DF$1,0))+1,0))</f>
        <v>#N/A</v>
      </c>
      <c r="M221" s="84" t="e" cm="1">
        <f t="array" ref="M221">_xlfn.IFS(L221="","",L221&lt;='Base de dados'!$K$2,'Base de dados'!$K$1,L221&lt;='Base de dados'!$L$3,'Base de dados'!$L$1,L221&lt;='Base de dados'!$M$3,'Base de dados'!$M$1,L221&gt;='Base de dados'!$N$2,'Base de dados'!$N$1)</f>
        <v>#N/A</v>
      </c>
      <c r="N221" s="84"/>
      <c r="O221" s="84"/>
    </row>
    <row r="222" spans="1:15" s="85" customFormat="1" x14ac:dyDescent="0.25">
      <c r="A222" s="47"/>
      <c r="B222" s="47"/>
      <c r="C222" s="47"/>
      <c r="D222" s="47"/>
      <c r="E222" s="47"/>
      <c r="F222" s="47"/>
      <c r="G222" s="47"/>
      <c r="H222" s="86" t="s">
        <v>227</v>
      </c>
      <c r="I222" s="86" t="str">
        <f>IF(VLOOKUP('Gráficos Semanais'!$H222,AVES!$G$1:$DF$311,(MATCH('Gráficos Semanais'!$D$12,AVES!$H$1:$DF$1,0))+1,0)="","",VLOOKUP('Gráficos Semanais'!$H222,AVES!$G$1:$DF$311,(MATCH('Gráficos Semanais'!$D$12,AVES!$H$1:$DF$1,0))+1,0))</f>
        <v/>
      </c>
      <c r="J222" s="84"/>
      <c r="K222" s="84" t="s">
        <v>750</v>
      </c>
      <c r="L222" s="84" t="e">
        <f>IF(VLOOKUP('Gráficos Semanais'!$K222,' OVOS'!$G$1:$DF$311,(MATCH('Gráficos Semanais'!$D$12,' OVOS'!$H$1:$DF$1,0))+1,0)="","",VLOOKUP('Gráficos Semanais'!$K222,' OVOS'!$G$1:$DF$311,(MATCH('Gráficos Semanais'!$D$12,' OVOS'!$H$1:$DF$1,0))+1,0))</f>
        <v>#N/A</v>
      </c>
      <c r="M222" s="84" t="e" cm="1">
        <f t="array" ref="M222">_xlfn.IFS(L222="","",L222&lt;='Base de dados'!$K$2,'Base de dados'!$K$1,L222&lt;='Base de dados'!$L$3,'Base de dados'!$L$1,L222&lt;='Base de dados'!$M$3,'Base de dados'!$M$1,L222&gt;='Base de dados'!$N$2,'Base de dados'!$N$1)</f>
        <v>#N/A</v>
      </c>
      <c r="N222" s="84"/>
      <c r="O222" s="84"/>
    </row>
    <row r="223" spans="1:15" s="85" customFormat="1" x14ac:dyDescent="0.25">
      <c r="A223" s="47"/>
      <c r="B223" s="47"/>
      <c r="C223" s="47"/>
      <c r="D223" s="47"/>
      <c r="E223" s="47"/>
      <c r="F223" s="47"/>
      <c r="G223" s="47"/>
      <c r="H223" s="86" t="s">
        <v>228</v>
      </c>
      <c r="I223" s="86" t="str">
        <f>IF(VLOOKUP('Gráficos Semanais'!$H223,AVES!$G$1:$DF$311,(MATCH('Gráficos Semanais'!$D$12,AVES!$H$1:$DF$1,0))+1,0)="","",VLOOKUP('Gráficos Semanais'!$H223,AVES!$G$1:$DF$311,(MATCH('Gráficos Semanais'!$D$12,AVES!$H$1:$DF$1,0))+1,0))</f>
        <v/>
      </c>
      <c r="J223" s="84"/>
      <c r="K223" s="84" t="s">
        <v>751</v>
      </c>
      <c r="L223" s="84" t="e">
        <f>IF(VLOOKUP('Gráficos Semanais'!$K223,' OVOS'!$G$1:$DF$311,(MATCH('Gráficos Semanais'!$D$12,' OVOS'!$H$1:$DF$1,0))+1,0)="","",VLOOKUP('Gráficos Semanais'!$K223,' OVOS'!$G$1:$DF$311,(MATCH('Gráficos Semanais'!$D$12,' OVOS'!$H$1:$DF$1,0))+1,0))</f>
        <v>#N/A</v>
      </c>
      <c r="M223" s="84" t="e" cm="1">
        <f t="array" ref="M223">_xlfn.IFS(L223="","",L223&lt;='Base de dados'!$K$2,'Base de dados'!$K$1,L223&lt;='Base de dados'!$L$3,'Base de dados'!$L$1,L223&lt;='Base de dados'!$M$3,'Base de dados'!$M$1,L223&gt;='Base de dados'!$N$2,'Base de dados'!$N$1)</f>
        <v>#N/A</v>
      </c>
      <c r="N223" s="84"/>
      <c r="O223" s="84"/>
    </row>
    <row r="224" spans="1:15" s="85" customFormat="1" x14ac:dyDescent="0.25">
      <c r="A224" s="47"/>
      <c r="B224" s="47"/>
      <c r="C224" s="47"/>
      <c r="D224" s="47"/>
      <c r="E224" s="47"/>
      <c r="F224" s="47"/>
      <c r="G224" s="47"/>
      <c r="H224" s="86" t="s">
        <v>229</v>
      </c>
      <c r="I224" s="86" t="str">
        <f>IF(VLOOKUP('Gráficos Semanais'!$H224,AVES!$G$1:$DF$311,(MATCH('Gráficos Semanais'!$D$12,AVES!$H$1:$DF$1,0))+1,0)="","",VLOOKUP('Gráficos Semanais'!$H224,AVES!$G$1:$DF$311,(MATCH('Gráficos Semanais'!$D$12,AVES!$H$1:$DF$1,0))+1,0))</f>
        <v/>
      </c>
      <c r="J224" s="84"/>
      <c r="K224" s="84" t="s">
        <v>752</v>
      </c>
      <c r="L224" s="84" t="e">
        <f>IF(VLOOKUP('Gráficos Semanais'!$K224,' OVOS'!$G$1:$DF$311,(MATCH('Gráficos Semanais'!$D$12,' OVOS'!$H$1:$DF$1,0))+1,0)="","",VLOOKUP('Gráficos Semanais'!$K224,' OVOS'!$G$1:$DF$311,(MATCH('Gráficos Semanais'!$D$12,' OVOS'!$H$1:$DF$1,0))+1,0))</f>
        <v>#N/A</v>
      </c>
      <c r="M224" s="84" t="e" cm="1">
        <f t="array" ref="M224">_xlfn.IFS(L224="","",L224&lt;='Base de dados'!$K$2,'Base de dados'!$K$1,L224&lt;='Base de dados'!$L$3,'Base de dados'!$L$1,L224&lt;='Base de dados'!$M$3,'Base de dados'!$M$1,L224&gt;='Base de dados'!$N$2,'Base de dados'!$N$1)</f>
        <v>#N/A</v>
      </c>
      <c r="N224" s="84"/>
      <c r="O224" s="84"/>
    </row>
    <row r="225" spans="1:15" s="85" customFormat="1" x14ac:dyDescent="0.25">
      <c r="A225" s="47"/>
      <c r="B225" s="47"/>
      <c r="C225" s="47"/>
      <c r="D225" s="47"/>
      <c r="E225" s="47"/>
      <c r="F225" s="47"/>
      <c r="G225" s="47"/>
      <c r="H225" s="86" t="s">
        <v>230</v>
      </c>
      <c r="I225" s="86" t="str">
        <f>IF(VLOOKUP('Gráficos Semanais'!$H225,AVES!$G$1:$DF$311,(MATCH('Gráficos Semanais'!$D$12,AVES!$H$1:$DF$1,0))+1,0)="","",VLOOKUP('Gráficos Semanais'!$H225,AVES!$G$1:$DF$311,(MATCH('Gráficos Semanais'!$D$12,AVES!$H$1:$DF$1,0))+1,0))</f>
        <v/>
      </c>
      <c r="J225" s="84"/>
      <c r="K225" s="84" t="s">
        <v>753</v>
      </c>
      <c r="L225" s="84" t="e">
        <f>IF(VLOOKUP('Gráficos Semanais'!$K225,' OVOS'!$G$1:$DF$311,(MATCH('Gráficos Semanais'!$D$12,' OVOS'!$H$1:$DF$1,0))+1,0)="","",VLOOKUP('Gráficos Semanais'!$K225,' OVOS'!$G$1:$DF$311,(MATCH('Gráficos Semanais'!$D$12,' OVOS'!$H$1:$DF$1,0))+1,0))</f>
        <v>#N/A</v>
      </c>
      <c r="M225" s="84" t="e" cm="1">
        <f t="array" ref="M225">_xlfn.IFS(L225="","",L225&lt;='Base de dados'!$K$2,'Base de dados'!$K$1,L225&lt;='Base de dados'!$L$3,'Base de dados'!$L$1,L225&lt;='Base de dados'!$M$3,'Base de dados'!$M$1,L225&gt;='Base de dados'!$N$2,'Base de dados'!$N$1)</f>
        <v>#N/A</v>
      </c>
      <c r="N225" s="84"/>
      <c r="O225" s="84"/>
    </row>
    <row r="226" spans="1:15" s="85" customFormat="1" x14ac:dyDescent="0.25">
      <c r="A226" s="47"/>
      <c r="B226" s="47"/>
      <c r="C226" s="47"/>
      <c r="D226" s="47"/>
      <c r="E226" s="47"/>
      <c r="F226" s="47"/>
      <c r="G226" s="47"/>
      <c r="H226" s="86" t="s">
        <v>231</v>
      </c>
      <c r="I226" s="86" t="str">
        <f>IF(VLOOKUP('Gráficos Semanais'!$H226,AVES!$G$1:$DF$311,(MATCH('Gráficos Semanais'!$D$12,AVES!$H$1:$DF$1,0))+1,0)="","",VLOOKUP('Gráficos Semanais'!$H226,AVES!$G$1:$DF$311,(MATCH('Gráficos Semanais'!$D$12,AVES!$H$1:$DF$1,0))+1,0))</f>
        <v/>
      </c>
      <c r="J226" s="84"/>
      <c r="K226" s="84" t="s">
        <v>754</v>
      </c>
      <c r="L226" s="84" t="e">
        <f>IF(VLOOKUP('Gráficos Semanais'!$K226,' OVOS'!$G$1:$DF$311,(MATCH('Gráficos Semanais'!$D$12,' OVOS'!$H$1:$DF$1,0))+1,0)="","",VLOOKUP('Gráficos Semanais'!$K226,' OVOS'!$G$1:$DF$311,(MATCH('Gráficos Semanais'!$D$12,' OVOS'!$H$1:$DF$1,0))+1,0))</f>
        <v>#N/A</v>
      </c>
      <c r="M226" s="84" t="e" cm="1">
        <f t="array" ref="M226">_xlfn.IFS(L226="","",L226&lt;='Base de dados'!$K$2,'Base de dados'!$K$1,L226&lt;='Base de dados'!$L$3,'Base de dados'!$L$1,L226&lt;='Base de dados'!$M$3,'Base de dados'!$M$1,L226&gt;='Base de dados'!$N$2,'Base de dados'!$N$1)</f>
        <v>#N/A</v>
      </c>
      <c r="N226" s="84"/>
      <c r="O226" s="84"/>
    </row>
    <row r="227" spans="1:15" s="85" customFormat="1" x14ac:dyDescent="0.25">
      <c r="A227" s="47"/>
      <c r="B227" s="47"/>
      <c r="C227" s="47"/>
      <c r="D227" s="47"/>
      <c r="E227" s="47"/>
      <c r="F227" s="47"/>
      <c r="G227" s="47"/>
      <c r="H227" s="86" t="s">
        <v>232</v>
      </c>
      <c r="I227" s="86" t="str">
        <f>IF(VLOOKUP('Gráficos Semanais'!$H227,AVES!$G$1:$DF$311,(MATCH('Gráficos Semanais'!$D$12,AVES!$H$1:$DF$1,0))+1,0)="","",VLOOKUP('Gráficos Semanais'!$H227,AVES!$G$1:$DF$311,(MATCH('Gráficos Semanais'!$D$12,AVES!$H$1:$DF$1,0))+1,0))</f>
        <v/>
      </c>
      <c r="J227" s="84"/>
      <c r="K227" s="84" t="s">
        <v>755</v>
      </c>
      <c r="L227" s="84" t="e">
        <f>IF(VLOOKUP('Gráficos Semanais'!$K227,' OVOS'!$G$1:$DF$311,(MATCH('Gráficos Semanais'!$D$12,' OVOS'!$H$1:$DF$1,0))+1,0)="","",VLOOKUP('Gráficos Semanais'!$K227,' OVOS'!$G$1:$DF$311,(MATCH('Gráficos Semanais'!$D$12,' OVOS'!$H$1:$DF$1,0))+1,0))</f>
        <v>#N/A</v>
      </c>
      <c r="M227" s="84" t="e" cm="1">
        <f t="array" ref="M227">_xlfn.IFS(L227="","",L227&lt;='Base de dados'!$K$2,'Base de dados'!$K$1,L227&lt;='Base de dados'!$L$3,'Base de dados'!$L$1,L227&lt;='Base de dados'!$M$3,'Base de dados'!$M$1,L227&gt;='Base de dados'!$N$2,'Base de dados'!$N$1)</f>
        <v>#N/A</v>
      </c>
      <c r="N227" s="84"/>
      <c r="O227" s="84"/>
    </row>
    <row r="228" spans="1:15" s="85" customFormat="1" x14ac:dyDescent="0.25">
      <c r="A228" s="47"/>
      <c r="B228" s="47"/>
      <c r="C228" s="47"/>
      <c r="D228" s="47"/>
      <c r="E228" s="47"/>
      <c r="F228" s="47"/>
      <c r="G228" s="47"/>
      <c r="H228" s="86" t="s">
        <v>233</v>
      </c>
      <c r="I228" s="86" t="str">
        <f>IF(VLOOKUP('Gráficos Semanais'!$H228,AVES!$G$1:$DF$311,(MATCH('Gráficos Semanais'!$D$12,AVES!$H$1:$DF$1,0))+1,0)="","",VLOOKUP('Gráficos Semanais'!$H228,AVES!$G$1:$DF$311,(MATCH('Gráficos Semanais'!$D$12,AVES!$H$1:$DF$1,0))+1,0))</f>
        <v/>
      </c>
      <c r="J228" s="84"/>
      <c r="K228" s="84" t="s">
        <v>756</v>
      </c>
      <c r="L228" s="84" t="e">
        <f>IF(VLOOKUP('Gráficos Semanais'!$K228,' OVOS'!$G$1:$DF$311,(MATCH('Gráficos Semanais'!$D$12,' OVOS'!$H$1:$DF$1,0))+1,0)="","",VLOOKUP('Gráficos Semanais'!$K228,' OVOS'!$G$1:$DF$311,(MATCH('Gráficos Semanais'!$D$12,' OVOS'!$H$1:$DF$1,0))+1,0))</f>
        <v>#N/A</v>
      </c>
      <c r="M228" s="84" t="e" cm="1">
        <f t="array" ref="M228">_xlfn.IFS(L228="","",L228&lt;='Base de dados'!$K$2,'Base de dados'!$K$1,L228&lt;='Base de dados'!$L$3,'Base de dados'!$L$1,L228&lt;='Base de dados'!$M$3,'Base de dados'!$M$1,L228&gt;='Base de dados'!$N$2,'Base de dados'!$N$1)</f>
        <v>#N/A</v>
      </c>
      <c r="N228" s="84"/>
      <c r="O228" s="84"/>
    </row>
    <row r="229" spans="1:15" s="85" customFormat="1" x14ac:dyDescent="0.25">
      <c r="A229" s="47"/>
      <c r="B229" s="47"/>
      <c r="C229" s="47"/>
      <c r="D229" s="47"/>
      <c r="E229" s="47"/>
      <c r="F229" s="47"/>
      <c r="G229" s="47"/>
      <c r="H229" s="86" t="s">
        <v>234</v>
      </c>
      <c r="I229" s="86" t="str">
        <f>IF(VLOOKUP('Gráficos Semanais'!$H229,AVES!$G$1:$DF$311,(MATCH('Gráficos Semanais'!$D$12,AVES!$H$1:$DF$1,0))+1,0)="","",VLOOKUP('Gráficos Semanais'!$H229,AVES!$G$1:$DF$311,(MATCH('Gráficos Semanais'!$D$12,AVES!$H$1:$DF$1,0))+1,0))</f>
        <v/>
      </c>
      <c r="J229" s="84"/>
      <c r="K229" s="84" t="s">
        <v>757</v>
      </c>
      <c r="L229" s="84" t="e">
        <f>IF(VLOOKUP('Gráficos Semanais'!$K229,' OVOS'!$G$1:$DF$311,(MATCH('Gráficos Semanais'!$D$12,' OVOS'!$H$1:$DF$1,0))+1,0)="","",VLOOKUP('Gráficos Semanais'!$K229,' OVOS'!$G$1:$DF$311,(MATCH('Gráficos Semanais'!$D$12,' OVOS'!$H$1:$DF$1,0))+1,0))</f>
        <v>#N/A</v>
      </c>
      <c r="M229" s="84" t="e" cm="1">
        <f t="array" ref="M229">_xlfn.IFS(L229="","",L229&lt;='Base de dados'!$K$2,'Base de dados'!$K$1,L229&lt;='Base de dados'!$L$3,'Base de dados'!$L$1,L229&lt;='Base de dados'!$M$3,'Base de dados'!$M$1,L229&gt;='Base de dados'!$N$2,'Base de dados'!$N$1)</f>
        <v>#N/A</v>
      </c>
      <c r="N229" s="84"/>
      <c r="O229" s="84"/>
    </row>
    <row r="230" spans="1:15" s="85" customFormat="1" x14ac:dyDescent="0.25">
      <c r="A230" s="47"/>
      <c r="B230" s="47"/>
      <c r="C230" s="47"/>
      <c r="D230" s="47"/>
      <c r="E230" s="47"/>
      <c r="F230" s="47"/>
      <c r="G230" s="47"/>
      <c r="H230" s="86" t="s">
        <v>235</v>
      </c>
      <c r="I230" s="86" t="str">
        <f>IF(VLOOKUP('Gráficos Semanais'!$H230,AVES!$G$1:$DF$311,(MATCH('Gráficos Semanais'!$D$12,AVES!$H$1:$DF$1,0))+1,0)="","",VLOOKUP('Gráficos Semanais'!$H230,AVES!$G$1:$DF$311,(MATCH('Gráficos Semanais'!$D$12,AVES!$H$1:$DF$1,0))+1,0))</f>
        <v/>
      </c>
      <c r="J230" s="84"/>
      <c r="K230" s="84" t="s">
        <v>758</v>
      </c>
      <c r="L230" s="84" t="e">
        <f>IF(VLOOKUP('Gráficos Semanais'!$K230,' OVOS'!$G$1:$DF$311,(MATCH('Gráficos Semanais'!$D$12,' OVOS'!$H$1:$DF$1,0))+1,0)="","",VLOOKUP('Gráficos Semanais'!$K230,' OVOS'!$G$1:$DF$311,(MATCH('Gráficos Semanais'!$D$12,' OVOS'!$H$1:$DF$1,0))+1,0))</f>
        <v>#N/A</v>
      </c>
      <c r="M230" s="84" t="e" cm="1">
        <f t="array" ref="M230">_xlfn.IFS(L230="","",L230&lt;='Base de dados'!$K$2,'Base de dados'!$K$1,L230&lt;='Base de dados'!$L$3,'Base de dados'!$L$1,L230&lt;='Base de dados'!$M$3,'Base de dados'!$M$1,L230&gt;='Base de dados'!$N$2,'Base de dados'!$N$1)</f>
        <v>#N/A</v>
      </c>
      <c r="N230" s="84"/>
      <c r="O230" s="84"/>
    </row>
    <row r="231" spans="1:15" s="85" customFormat="1" x14ac:dyDescent="0.25">
      <c r="A231" s="47"/>
      <c r="B231" s="47"/>
      <c r="C231" s="47"/>
      <c r="D231" s="47"/>
      <c r="E231" s="47"/>
      <c r="F231" s="47"/>
      <c r="G231" s="47"/>
      <c r="H231" s="86" t="s">
        <v>236</v>
      </c>
      <c r="I231" s="86" t="str">
        <f>IF(VLOOKUP('Gráficos Semanais'!$H231,AVES!$G$1:$DF$311,(MATCH('Gráficos Semanais'!$D$12,AVES!$H$1:$DF$1,0))+1,0)="","",VLOOKUP('Gráficos Semanais'!$H231,AVES!$G$1:$DF$311,(MATCH('Gráficos Semanais'!$D$12,AVES!$H$1:$DF$1,0))+1,0))</f>
        <v/>
      </c>
      <c r="J231" s="84"/>
      <c r="K231" s="84" t="s">
        <v>759</v>
      </c>
      <c r="L231" s="84" t="e">
        <f>IF(VLOOKUP('Gráficos Semanais'!$K231,' OVOS'!$G$1:$DF$311,(MATCH('Gráficos Semanais'!$D$12,' OVOS'!$H$1:$DF$1,0))+1,0)="","",VLOOKUP('Gráficos Semanais'!$K231,' OVOS'!$G$1:$DF$311,(MATCH('Gráficos Semanais'!$D$12,' OVOS'!$H$1:$DF$1,0))+1,0))</f>
        <v>#N/A</v>
      </c>
      <c r="M231" s="84" t="e" cm="1">
        <f t="array" ref="M231">_xlfn.IFS(L231="","",L231&lt;='Base de dados'!$K$2,'Base de dados'!$K$1,L231&lt;='Base de dados'!$L$3,'Base de dados'!$L$1,L231&lt;='Base de dados'!$M$3,'Base de dados'!$M$1,L231&gt;='Base de dados'!$N$2,'Base de dados'!$N$1)</f>
        <v>#N/A</v>
      </c>
      <c r="N231" s="84"/>
      <c r="O231" s="84"/>
    </row>
    <row r="232" spans="1:15" s="85" customFormat="1" x14ac:dyDescent="0.25">
      <c r="A232" s="47"/>
      <c r="B232" s="47"/>
      <c r="C232" s="47"/>
      <c r="D232" s="47"/>
      <c r="E232" s="47"/>
      <c r="F232" s="47"/>
      <c r="G232" s="47"/>
      <c r="H232" s="86" t="s">
        <v>237</v>
      </c>
      <c r="I232" s="86" t="str">
        <f>IF(VLOOKUP('Gráficos Semanais'!$H232,AVES!$G$1:$DF$311,(MATCH('Gráficos Semanais'!$D$12,AVES!$H$1:$DF$1,0))+1,0)="","",VLOOKUP('Gráficos Semanais'!$H232,AVES!$G$1:$DF$311,(MATCH('Gráficos Semanais'!$D$12,AVES!$H$1:$DF$1,0))+1,0))</f>
        <v/>
      </c>
      <c r="J232" s="84"/>
      <c r="K232" s="84" t="s">
        <v>760</v>
      </c>
      <c r="L232" s="84" t="e">
        <f>IF(VLOOKUP('Gráficos Semanais'!$K232,' OVOS'!$G$1:$DF$311,(MATCH('Gráficos Semanais'!$D$12,' OVOS'!$H$1:$DF$1,0))+1,0)="","",VLOOKUP('Gráficos Semanais'!$K232,' OVOS'!$G$1:$DF$311,(MATCH('Gráficos Semanais'!$D$12,' OVOS'!$H$1:$DF$1,0))+1,0))</f>
        <v>#N/A</v>
      </c>
      <c r="M232" s="84" t="e" cm="1">
        <f t="array" ref="M232">_xlfn.IFS(L232="","",L232&lt;='Base de dados'!$K$2,'Base de dados'!$K$1,L232&lt;='Base de dados'!$L$3,'Base de dados'!$L$1,L232&lt;='Base de dados'!$M$3,'Base de dados'!$M$1,L232&gt;='Base de dados'!$N$2,'Base de dados'!$N$1)</f>
        <v>#N/A</v>
      </c>
      <c r="N232" s="84"/>
      <c r="O232" s="84"/>
    </row>
    <row r="233" spans="1:15" s="85" customFormat="1" x14ac:dyDescent="0.25">
      <c r="A233" s="47"/>
      <c r="B233" s="47"/>
      <c r="C233" s="47"/>
      <c r="D233" s="47"/>
      <c r="E233" s="47"/>
      <c r="F233" s="47"/>
      <c r="G233" s="47"/>
      <c r="H233" s="86" t="s">
        <v>238</v>
      </c>
      <c r="I233" s="86" t="str">
        <f>IF(VLOOKUP('Gráficos Semanais'!$H233,AVES!$G$1:$DF$311,(MATCH('Gráficos Semanais'!$D$12,AVES!$H$1:$DF$1,0))+1,0)="","",VLOOKUP('Gráficos Semanais'!$H233,AVES!$G$1:$DF$311,(MATCH('Gráficos Semanais'!$D$12,AVES!$H$1:$DF$1,0))+1,0))</f>
        <v/>
      </c>
      <c r="J233" s="84"/>
      <c r="K233" s="84" t="s">
        <v>761</v>
      </c>
      <c r="L233" s="84" t="e">
        <f>IF(VLOOKUP('Gráficos Semanais'!$K233,' OVOS'!$G$1:$DF$311,(MATCH('Gráficos Semanais'!$D$12,' OVOS'!$H$1:$DF$1,0))+1,0)="","",VLOOKUP('Gráficos Semanais'!$K233,' OVOS'!$G$1:$DF$311,(MATCH('Gráficos Semanais'!$D$12,' OVOS'!$H$1:$DF$1,0))+1,0))</f>
        <v>#N/A</v>
      </c>
      <c r="M233" s="84" t="e" cm="1">
        <f t="array" ref="M233">_xlfn.IFS(L233="","",L233&lt;='Base de dados'!$K$2,'Base de dados'!$K$1,L233&lt;='Base de dados'!$L$3,'Base de dados'!$L$1,L233&lt;='Base de dados'!$M$3,'Base de dados'!$M$1,L233&gt;='Base de dados'!$N$2,'Base de dados'!$N$1)</f>
        <v>#N/A</v>
      </c>
      <c r="N233" s="84"/>
      <c r="O233" s="84"/>
    </row>
    <row r="234" spans="1:15" s="85" customFormat="1" x14ac:dyDescent="0.25">
      <c r="A234" s="47"/>
      <c r="B234" s="47"/>
      <c r="C234" s="47"/>
      <c r="D234" s="47"/>
      <c r="E234" s="47"/>
      <c r="F234" s="47"/>
      <c r="G234" s="47"/>
      <c r="H234" s="86" t="s">
        <v>239</v>
      </c>
      <c r="I234" s="86" t="str">
        <f>IF(VLOOKUP('Gráficos Semanais'!$H234,AVES!$G$1:$DF$311,(MATCH('Gráficos Semanais'!$D$12,AVES!$H$1:$DF$1,0))+1,0)="","",VLOOKUP('Gráficos Semanais'!$H234,AVES!$G$1:$DF$311,(MATCH('Gráficos Semanais'!$D$12,AVES!$H$1:$DF$1,0))+1,0))</f>
        <v/>
      </c>
      <c r="J234" s="84"/>
      <c r="K234" s="84" t="s">
        <v>762</v>
      </c>
      <c r="L234" s="84" t="e">
        <f>IF(VLOOKUP('Gráficos Semanais'!$K234,' OVOS'!$G$1:$DF$311,(MATCH('Gráficos Semanais'!$D$12,' OVOS'!$H$1:$DF$1,0))+1,0)="","",VLOOKUP('Gráficos Semanais'!$K234,' OVOS'!$G$1:$DF$311,(MATCH('Gráficos Semanais'!$D$12,' OVOS'!$H$1:$DF$1,0))+1,0))</f>
        <v>#N/A</v>
      </c>
      <c r="M234" s="84" t="e" cm="1">
        <f t="array" ref="M234">_xlfn.IFS(L234="","",L234&lt;='Base de dados'!$K$2,'Base de dados'!$K$1,L234&lt;='Base de dados'!$L$3,'Base de dados'!$L$1,L234&lt;='Base de dados'!$M$3,'Base de dados'!$M$1,L234&gt;='Base de dados'!$N$2,'Base de dados'!$N$1)</f>
        <v>#N/A</v>
      </c>
      <c r="N234" s="84"/>
      <c r="O234" s="84"/>
    </row>
    <row r="235" spans="1:15" s="85" customFormat="1" x14ac:dyDescent="0.25">
      <c r="A235" s="47"/>
      <c r="B235" s="47"/>
      <c r="C235" s="47"/>
      <c r="D235" s="47"/>
      <c r="E235" s="47"/>
      <c r="F235" s="47"/>
      <c r="G235" s="47"/>
      <c r="H235" s="86" t="s">
        <v>240</v>
      </c>
      <c r="I235" s="86" t="str">
        <f>IF(VLOOKUP('Gráficos Semanais'!$H235,AVES!$G$1:$DF$311,(MATCH('Gráficos Semanais'!$D$12,AVES!$H$1:$DF$1,0))+1,0)="","",VLOOKUP('Gráficos Semanais'!$H235,AVES!$G$1:$DF$311,(MATCH('Gráficos Semanais'!$D$12,AVES!$H$1:$DF$1,0))+1,0))</f>
        <v/>
      </c>
      <c r="J235" s="84"/>
      <c r="K235" s="84" t="s">
        <v>763</v>
      </c>
      <c r="L235" s="84" t="e">
        <f>IF(VLOOKUP('Gráficos Semanais'!$K235,' OVOS'!$G$1:$DF$311,(MATCH('Gráficos Semanais'!$D$12,' OVOS'!$H$1:$DF$1,0))+1,0)="","",VLOOKUP('Gráficos Semanais'!$K235,' OVOS'!$G$1:$DF$311,(MATCH('Gráficos Semanais'!$D$12,' OVOS'!$H$1:$DF$1,0))+1,0))</f>
        <v>#N/A</v>
      </c>
      <c r="M235" s="84" t="e" cm="1">
        <f t="array" ref="M235">_xlfn.IFS(L235="","",L235&lt;='Base de dados'!$K$2,'Base de dados'!$K$1,L235&lt;='Base de dados'!$L$3,'Base de dados'!$L$1,L235&lt;='Base de dados'!$M$3,'Base de dados'!$M$1,L235&gt;='Base de dados'!$N$2,'Base de dados'!$N$1)</f>
        <v>#N/A</v>
      </c>
      <c r="N235" s="84"/>
      <c r="O235" s="84"/>
    </row>
    <row r="236" spans="1:15" s="85" customFormat="1" x14ac:dyDescent="0.25">
      <c r="A236" s="47"/>
      <c r="B236" s="47"/>
      <c r="C236" s="47"/>
      <c r="D236" s="47"/>
      <c r="E236" s="47"/>
      <c r="F236" s="47"/>
      <c r="G236" s="47"/>
      <c r="H236" s="86" t="s">
        <v>241</v>
      </c>
      <c r="I236" s="86" t="str">
        <f>IF(VLOOKUP('Gráficos Semanais'!$H236,AVES!$G$1:$DF$311,(MATCH('Gráficos Semanais'!$D$12,AVES!$H$1:$DF$1,0))+1,0)="","",VLOOKUP('Gráficos Semanais'!$H236,AVES!$G$1:$DF$311,(MATCH('Gráficos Semanais'!$D$12,AVES!$H$1:$DF$1,0))+1,0))</f>
        <v/>
      </c>
      <c r="J236" s="84"/>
      <c r="K236" s="84" t="s">
        <v>764</v>
      </c>
      <c r="L236" s="84" t="e">
        <f>IF(VLOOKUP('Gráficos Semanais'!$K236,' OVOS'!$G$1:$DF$311,(MATCH('Gráficos Semanais'!$D$12,' OVOS'!$H$1:$DF$1,0))+1,0)="","",VLOOKUP('Gráficos Semanais'!$K236,' OVOS'!$G$1:$DF$311,(MATCH('Gráficos Semanais'!$D$12,' OVOS'!$H$1:$DF$1,0))+1,0))</f>
        <v>#N/A</v>
      </c>
      <c r="M236" s="84" t="e" cm="1">
        <f t="array" ref="M236">_xlfn.IFS(L236="","",L236&lt;='Base de dados'!$K$2,'Base de dados'!$K$1,L236&lt;='Base de dados'!$L$3,'Base de dados'!$L$1,L236&lt;='Base de dados'!$M$3,'Base de dados'!$M$1,L236&gt;='Base de dados'!$N$2,'Base de dados'!$N$1)</f>
        <v>#N/A</v>
      </c>
      <c r="N236" s="84"/>
      <c r="O236" s="84"/>
    </row>
    <row r="237" spans="1:15" s="85" customFormat="1" x14ac:dyDescent="0.25">
      <c r="A237" s="47"/>
      <c r="B237" s="47"/>
      <c r="C237" s="47"/>
      <c r="D237" s="47"/>
      <c r="E237" s="47"/>
      <c r="F237" s="47"/>
      <c r="G237" s="47"/>
      <c r="H237" s="86" t="s">
        <v>242</v>
      </c>
      <c r="I237" s="86" t="str">
        <f>IF(VLOOKUP('Gráficos Semanais'!$H237,AVES!$G$1:$DF$311,(MATCH('Gráficos Semanais'!$D$12,AVES!$H$1:$DF$1,0))+1,0)="","",VLOOKUP('Gráficos Semanais'!$H237,AVES!$G$1:$DF$311,(MATCH('Gráficos Semanais'!$D$12,AVES!$H$1:$DF$1,0))+1,0))</f>
        <v/>
      </c>
      <c r="J237" s="84"/>
      <c r="K237" s="84" t="s">
        <v>765</v>
      </c>
      <c r="L237" s="84" t="e">
        <f>IF(VLOOKUP('Gráficos Semanais'!$K237,' OVOS'!$G$1:$DF$311,(MATCH('Gráficos Semanais'!$D$12,' OVOS'!$H$1:$DF$1,0))+1,0)="","",VLOOKUP('Gráficos Semanais'!$K237,' OVOS'!$G$1:$DF$311,(MATCH('Gráficos Semanais'!$D$12,' OVOS'!$H$1:$DF$1,0))+1,0))</f>
        <v>#N/A</v>
      </c>
      <c r="M237" s="84" t="e" cm="1">
        <f t="array" ref="M237">_xlfn.IFS(L237="","",L237&lt;='Base de dados'!$K$2,'Base de dados'!$K$1,L237&lt;='Base de dados'!$L$3,'Base de dados'!$L$1,L237&lt;='Base de dados'!$M$3,'Base de dados'!$M$1,L237&gt;='Base de dados'!$N$2,'Base de dados'!$N$1)</f>
        <v>#N/A</v>
      </c>
      <c r="N237" s="84"/>
      <c r="O237" s="84"/>
    </row>
    <row r="238" spans="1:15" s="85" customFormat="1" x14ac:dyDescent="0.25">
      <c r="A238" s="47"/>
      <c r="B238" s="47"/>
      <c r="C238" s="47"/>
      <c r="D238" s="47"/>
      <c r="E238" s="47"/>
      <c r="F238" s="47"/>
      <c r="G238" s="47"/>
      <c r="H238" s="86" t="s">
        <v>243</v>
      </c>
      <c r="I238" s="86" t="str">
        <f>IF(VLOOKUP('Gráficos Semanais'!$H238,AVES!$G$1:$DF$311,(MATCH('Gráficos Semanais'!$D$12,AVES!$H$1:$DF$1,0))+1,0)="","",VLOOKUP('Gráficos Semanais'!$H238,AVES!$G$1:$DF$311,(MATCH('Gráficos Semanais'!$D$12,AVES!$H$1:$DF$1,0))+1,0))</f>
        <v/>
      </c>
      <c r="J238" s="84"/>
      <c r="K238" s="84" t="s">
        <v>766</v>
      </c>
      <c r="L238" s="84" t="e">
        <f>IF(VLOOKUP('Gráficos Semanais'!$K238,' OVOS'!$G$1:$DF$311,(MATCH('Gráficos Semanais'!$D$12,' OVOS'!$H$1:$DF$1,0))+1,0)="","",VLOOKUP('Gráficos Semanais'!$K238,' OVOS'!$G$1:$DF$311,(MATCH('Gráficos Semanais'!$D$12,' OVOS'!$H$1:$DF$1,0))+1,0))</f>
        <v>#N/A</v>
      </c>
      <c r="M238" s="84" t="e" cm="1">
        <f t="array" ref="M238">_xlfn.IFS(L238="","",L238&lt;='Base de dados'!$K$2,'Base de dados'!$K$1,L238&lt;='Base de dados'!$L$3,'Base de dados'!$L$1,L238&lt;='Base de dados'!$M$3,'Base de dados'!$M$1,L238&gt;='Base de dados'!$N$2,'Base de dados'!$N$1)</f>
        <v>#N/A</v>
      </c>
      <c r="N238" s="84"/>
      <c r="O238" s="84"/>
    </row>
    <row r="239" spans="1:15" s="85" customFormat="1" x14ac:dyDescent="0.25">
      <c r="A239" s="47"/>
      <c r="B239" s="47"/>
      <c r="C239" s="47"/>
      <c r="D239" s="47"/>
      <c r="E239" s="47"/>
      <c r="F239" s="47"/>
      <c r="G239" s="47"/>
      <c r="H239" s="86" t="s">
        <v>244</v>
      </c>
      <c r="I239" s="86" t="str">
        <f>IF(VLOOKUP('Gráficos Semanais'!$H239,AVES!$G$1:$DF$311,(MATCH('Gráficos Semanais'!$D$12,AVES!$H$1:$DF$1,0))+1,0)="","",VLOOKUP('Gráficos Semanais'!$H239,AVES!$G$1:$DF$311,(MATCH('Gráficos Semanais'!$D$12,AVES!$H$1:$DF$1,0))+1,0))</f>
        <v/>
      </c>
      <c r="J239" s="84"/>
      <c r="K239" s="84" t="s">
        <v>767</v>
      </c>
      <c r="L239" s="84" t="e">
        <f>IF(VLOOKUP('Gráficos Semanais'!$K239,' OVOS'!$G$1:$DF$311,(MATCH('Gráficos Semanais'!$D$12,' OVOS'!$H$1:$DF$1,0))+1,0)="","",VLOOKUP('Gráficos Semanais'!$K239,' OVOS'!$G$1:$DF$311,(MATCH('Gráficos Semanais'!$D$12,' OVOS'!$H$1:$DF$1,0))+1,0))</f>
        <v>#N/A</v>
      </c>
      <c r="M239" s="84" t="e" cm="1">
        <f t="array" ref="M239">_xlfn.IFS(L239="","",L239&lt;='Base de dados'!$K$2,'Base de dados'!$K$1,L239&lt;='Base de dados'!$L$3,'Base de dados'!$L$1,L239&lt;='Base de dados'!$M$3,'Base de dados'!$M$1,L239&gt;='Base de dados'!$N$2,'Base de dados'!$N$1)</f>
        <v>#N/A</v>
      </c>
      <c r="N239" s="84"/>
      <c r="O239" s="84"/>
    </row>
    <row r="240" spans="1:15" s="85" customFormat="1" x14ac:dyDescent="0.25">
      <c r="A240" s="47"/>
      <c r="B240" s="47"/>
      <c r="C240" s="47"/>
      <c r="D240" s="47"/>
      <c r="E240" s="47"/>
      <c r="F240" s="47"/>
      <c r="G240" s="47"/>
      <c r="H240" s="86" t="s">
        <v>245</v>
      </c>
      <c r="I240" s="86" t="str">
        <f>IF(VLOOKUP('Gráficos Semanais'!$H240,AVES!$G$1:$DF$311,(MATCH('Gráficos Semanais'!$D$12,AVES!$H$1:$DF$1,0))+1,0)="","",VLOOKUP('Gráficos Semanais'!$H240,AVES!$G$1:$DF$311,(MATCH('Gráficos Semanais'!$D$12,AVES!$H$1:$DF$1,0))+1,0))</f>
        <v/>
      </c>
      <c r="J240" s="84"/>
      <c r="K240" s="84" t="s">
        <v>768</v>
      </c>
      <c r="L240" s="84" t="e">
        <f>IF(VLOOKUP('Gráficos Semanais'!$K240,' OVOS'!$G$1:$DF$311,(MATCH('Gráficos Semanais'!$D$12,' OVOS'!$H$1:$DF$1,0))+1,0)="","",VLOOKUP('Gráficos Semanais'!$K240,' OVOS'!$G$1:$DF$311,(MATCH('Gráficos Semanais'!$D$12,' OVOS'!$H$1:$DF$1,0))+1,0))</f>
        <v>#N/A</v>
      </c>
      <c r="M240" s="84" t="e" cm="1">
        <f t="array" ref="M240">_xlfn.IFS(L240="","",L240&lt;='Base de dados'!$K$2,'Base de dados'!$K$1,L240&lt;='Base de dados'!$L$3,'Base de dados'!$L$1,L240&lt;='Base de dados'!$M$3,'Base de dados'!$M$1,L240&gt;='Base de dados'!$N$2,'Base de dados'!$N$1)</f>
        <v>#N/A</v>
      </c>
      <c r="N240" s="84"/>
      <c r="O240" s="84"/>
    </row>
    <row r="241" spans="1:15" s="85" customFormat="1" x14ac:dyDescent="0.25">
      <c r="A241" s="47"/>
      <c r="B241" s="47"/>
      <c r="C241" s="47"/>
      <c r="D241" s="47"/>
      <c r="E241" s="47"/>
      <c r="F241" s="47"/>
      <c r="G241" s="47"/>
      <c r="H241" s="86" t="s">
        <v>246</v>
      </c>
      <c r="I241" s="86" t="str">
        <f>IF(VLOOKUP('Gráficos Semanais'!$H241,AVES!$G$1:$DF$311,(MATCH('Gráficos Semanais'!$D$12,AVES!$H$1:$DF$1,0))+1,0)="","",VLOOKUP('Gráficos Semanais'!$H241,AVES!$G$1:$DF$311,(MATCH('Gráficos Semanais'!$D$12,AVES!$H$1:$DF$1,0))+1,0))</f>
        <v/>
      </c>
      <c r="J241" s="84"/>
      <c r="K241" s="84" t="s">
        <v>769</v>
      </c>
      <c r="L241" s="84" t="e">
        <f>IF(VLOOKUP('Gráficos Semanais'!$K241,' OVOS'!$G$1:$DF$311,(MATCH('Gráficos Semanais'!$D$12,' OVOS'!$H$1:$DF$1,0))+1,0)="","",VLOOKUP('Gráficos Semanais'!$K241,' OVOS'!$G$1:$DF$311,(MATCH('Gráficos Semanais'!$D$12,' OVOS'!$H$1:$DF$1,0))+1,0))</f>
        <v>#N/A</v>
      </c>
      <c r="M241" s="84" t="e" cm="1">
        <f t="array" ref="M241">_xlfn.IFS(L241="","",L241&lt;='Base de dados'!$K$2,'Base de dados'!$K$1,L241&lt;='Base de dados'!$L$3,'Base de dados'!$L$1,L241&lt;='Base de dados'!$M$3,'Base de dados'!$M$1,L241&gt;='Base de dados'!$N$2,'Base de dados'!$N$1)</f>
        <v>#N/A</v>
      </c>
      <c r="N241" s="84"/>
      <c r="O241" s="84"/>
    </row>
    <row r="242" spans="1:15" s="85" customFormat="1" x14ac:dyDescent="0.25">
      <c r="A242" s="47"/>
      <c r="B242" s="47"/>
      <c r="C242" s="47"/>
      <c r="D242" s="47"/>
      <c r="E242" s="47"/>
      <c r="F242" s="47"/>
      <c r="G242" s="47"/>
      <c r="H242" s="86" t="s">
        <v>247</v>
      </c>
      <c r="I242" s="86" t="str">
        <f>IF(VLOOKUP('Gráficos Semanais'!$H242,AVES!$G$1:$DF$311,(MATCH('Gráficos Semanais'!$D$12,AVES!$H$1:$DF$1,0))+1,0)="","",VLOOKUP('Gráficos Semanais'!$H242,AVES!$G$1:$DF$311,(MATCH('Gráficos Semanais'!$D$12,AVES!$H$1:$DF$1,0))+1,0))</f>
        <v/>
      </c>
      <c r="J242" s="84"/>
      <c r="K242" s="84" t="s">
        <v>770</v>
      </c>
      <c r="L242" s="84" t="e">
        <f>IF(VLOOKUP('Gráficos Semanais'!$K242,' OVOS'!$G$1:$DF$311,(MATCH('Gráficos Semanais'!$D$12,' OVOS'!$H$1:$DF$1,0))+1,0)="","",VLOOKUP('Gráficos Semanais'!$K242,' OVOS'!$G$1:$DF$311,(MATCH('Gráficos Semanais'!$D$12,' OVOS'!$H$1:$DF$1,0))+1,0))</f>
        <v>#N/A</v>
      </c>
      <c r="M242" s="84" t="e" cm="1">
        <f t="array" ref="M242">_xlfn.IFS(L242="","",L242&lt;='Base de dados'!$K$2,'Base de dados'!$K$1,L242&lt;='Base de dados'!$L$3,'Base de dados'!$L$1,L242&lt;='Base de dados'!$M$3,'Base de dados'!$M$1,L242&gt;='Base de dados'!$N$2,'Base de dados'!$N$1)</f>
        <v>#N/A</v>
      </c>
      <c r="N242" s="84"/>
      <c r="O242" s="84"/>
    </row>
    <row r="243" spans="1:15" s="85" customFormat="1" x14ac:dyDescent="0.25">
      <c r="A243" s="47"/>
      <c r="B243" s="47"/>
      <c r="C243" s="47"/>
      <c r="D243" s="47"/>
      <c r="E243" s="47"/>
      <c r="F243" s="47"/>
      <c r="G243" s="47"/>
      <c r="H243" s="86" t="s">
        <v>248</v>
      </c>
      <c r="I243" s="86" t="str">
        <f>IF(VLOOKUP('Gráficos Semanais'!$H243,AVES!$G$1:$DF$311,(MATCH('Gráficos Semanais'!$D$12,AVES!$H$1:$DF$1,0))+1,0)="","",VLOOKUP('Gráficos Semanais'!$H243,AVES!$G$1:$DF$311,(MATCH('Gráficos Semanais'!$D$12,AVES!$H$1:$DF$1,0))+1,0))</f>
        <v/>
      </c>
      <c r="J243" s="84"/>
      <c r="K243" s="84" t="s">
        <v>771</v>
      </c>
      <c r="L243" s="84" t="e">
        <f>IF(VLOOKUP('Gráficos Semanais'!$K243,' OVOS'!$G$1:$DF$311,(MATCH('Gráficos Semanais'!$D$12,' OVOS'!$H$1:$DF$1,0))+1,0)="","",VLOOKUP('Gráficos Semanais'!$K243,' OVOS'!$G$1:$DF$311,(MATCH('Gráficos Semanais'!$D$12,' OVOS'!$H$1:$DF$1,0))+1,0))</f>
        <v>#N/A</v>
      </c>
      <c r="M243" s="84" t="e" cm="1">
        <f t="array" ref="M243">_xlfn.IFS(L243="","",L243&lt;='Base de dados'!$K$2,'Base de dados'!$K$1,L243&lt;='Base de dados'!$L$3,'Base de dados'!$L$1,L243&lt;='Base de dados'!$M$3,'Base de dados'!$M$1,L243&gt;='Base de dados'!$N$2,'Base de dados'!$N$1)</f>
        <v>#N/A</v>
      </c>
      <c r="N243" s="84"/>
      <c r="O243" s="84"/>
    </row>
    <row r="244" spans="1:15" s="85" customFormat="1" x14ac:dyDescent="0.25">
      <c r="A244" s="47"/>
      <c r="B244" s="47"/>
      <c r="C244" s="47"/>
      <c r="D244" s="47"/>
      <c r="E244" s="47"/>
      <c r="F244" s="47"/>
      <c r="G244" s="47"/>
      <c r="H244" s="86" t="s">
        <v>249</v>
      </c>
      <c r="I244" s="86" t="str">
        <f>IF(VLOOKUP('Gráficos Semanais'!$H244,AVES!$G$1:$DF$311,(MATCH('Gráficos Semanais'!$D$12,AVES!$H$1:$DF$1,0))+1,0)="","",VLOOKUP('Gráficos Semanais'!$H244,AVES!$G$1:$DF$311,(MATCH('Gráficos Semanais'!$D$12,AVES!$H$1:$DF$1,0))+1,0))</f>
        <v/>
      </c>
      <c r="J244" s="84"/>
      <c r="K244" s="84" t="s">
        <v>772</v>
      </c>
      <c r="L244" s="84" t="e">
        <f>IF(VLOOKUP('Gráficos Semanais'!$K244,' OVOS'!$G$1:$DF$311,(MATCH('Gráficos Semanais'!$D$12,' OVOS'!$H$1:$DF$1,0))+1,0)="","",VLOOKUP('Gráficos Semanais'!$K244,' OVOS'!$G$1:$DF$311,(MATCH('Gráficos Semanais'!$D$12,' OVOS'!$H$1:$DF$1,0))+1,0))</f>
        <v>#N/A</v>
      </c>
      <c r="M244" s="84" t="e" cm="1">
        <f t="array" ref="M244">_xlfn.IFS(L244="","",L244&lt;='Base de dados'!$K$2,'Base de dados'!$K$1,L244&lt;='Base de dados'!$L$3,'Base de dados'!$L$1,L244&lt;='Base de dados'!$M$3,'Base de dados'!$M$1,L244&gt;='Base de dados'!$N$2,'Base de dados'!$N$1)</f>
        <v>#N/A</v>
      </c>
      <c r="N244" s="84"/>
      <c r="O244" s="84"/>
    </row>
    <row r="245" spans="1:15" s="85" customFormat="1" x14ac:dyDescent="0.25">
      <c r="A245" s="47"/>
      <c r="B245" s="47"/>
      <c r="C245" s="47"/>
      <c r="D245" s="47"/>
      <c r="E245" s="47"/>
      <c r="F245" s="47"/>
      <c r="G245" s="47"/>
      <c r="H245" s="86" t="s">
        <v>250</v>
      </c>
      <c r="I245" s="86" t="str">
        <f>IF(VLOOKUP('Gráficos Semanais'!$H245,AVES!$G$1:$DF$311,(MATCH('Gráficos Semanais'!$D$12,AVES!$H$1:$DF$1,0))+1,0)="","",VLOOKUP('Gráficos Semanais'!$H245,AVES!$G$1:$DF$311,(MATCH('Gráficos Semanais'!$D$12,AVES!$H$1:$DF$1,0))+1,0))</f>
        <v/>
      </c>
      <c r="J245" s="84"/>
      <c r="K245" s="84" t="s">
        <v>773</v>
      </c>
      <c r="L245" s="84" t="e">
        <f>IF(VLOOKUP('Gráficos Semanais'!$K245,' OVOS'!$G$1:$DF$311,(MATCH('Gráficos Semanais'!$D$12,' OVOS'!$H$1:$DF$1,0))+1,0)="","",VLOOKUP('Gráficos Semanais'!$K245,' OVOS'!$G$1:$DF$311,(MATCH('Gráficos Semanais'!$D$12,' OVOS'!$H$1:$DF$1,0))+1,0))</f>
        <v>#N/A</v>
      </c>
      <c r="M245" s="84" t="e" cm="1">
        <f t="array" ref="M245">_xlfn.IFS(L245="","",L245&lt;='Base de dados'!$K$2,'Base de dados'!$K$1,L245&lt;='Base de dados'!$L$3,'Base de dados'!$L$1,L245&lt;='Base de dados'!$M$3,'Base de dados'!$M$1,L245&gt;='Base de dados'!$N$2,'Base de dados'!$N$1)</f>
        <v>#N/A</v>
      </c>
      <c r="N245" s="84"/>
      <c r="O245" s="84"/>
    </row>
    <row r="246" spans="1:15" s="85" customFormat="1" x14ac:dyDescent="0.25">
      <c r="A246" s="47"/>
      <c r="B246" s="47"/>
      <c r="C246" s="47"/>
      <c r="D246" s="47"/>
      <c r="E246" s="47"/>
      <c r="F246" s="47"/>
      <c r="G246" s="47"/>
      <c r="H246" s="86" t="s">
        <v>251</v>
      </c>
      <c r="I246" s="86" t="str">
        <f>IF(VLOOKUP('Gráficos Semanais'!$H246,AVES!$G$1:$DF$311,(MATCH('Gráficos Semanais'!$D$12,AVES!$H$1:$DF$1,0))+1,0)="","",VLOOKUP('Gráficos Semanais'!$H246,AVES!$G$1:$DF$311,(MATCH('Gráficos Semanais'!$D$12,AVES!$H$1:$DF$1,0))+1,0))</f>
        <v/>
      </c>
      <c r="J246" s="84"/>
      <c r="K246" s="84" t="s">
        <v>774</v>
      </c>
      <c r="L246" s="84" t="e">
        <f>IF(VLOOKUP('Gráficos Semanais'!$K246,' OVOS'!$G$1:$DF$311,(MATCH('Gráficos Semanais'!$D$12,' OVOS'!$H$1:$DF$1,0))+1,0)="","",VLOOKUP('Gráficos Semanais'!$K246,' OVOS'!$G$1:$DF$311,(MATCH('Gráficos Semanais'!$D$12,' OVOS'!$H$1:$DF$1,0))+1,0))</f>
        <v>#N/A</v>
      </c>
      <c r="M246" s="84" t="e" cm="1">
        <f t="array" ref="M246">_xlfn.IFS(L246="","",L246&lt;='Base de dados'!$K$2,'Base de dados'!$K$1,L246&lt;='Base de dados'!$L$3,'Base de dados'!$L$1,L246&lt;='Base de dados'!$M$3,'Base de dados'!$M$1,L246&gt;='Base de dados'!$N$2,'Base de dados'!$N$1)</f>
        <v>#N/A</v>
      </c>
      <c r="N246" s="84"/>
      <c r="O246" s="84"/>
    </row>
    <row r="247" spans="1:15" s="85" customFormat="1" x14ac:dyDescent="0.25">
      <c r="A247" s="47"/>
      <c r="B247" s="47"/>
      <c r="C247" s="47"/>
      <c r="D247" s="47"/>
      <c r="E247" s="47"/>
      <c r="F247" s="47"/>
      <c r="G247" s="47"/>
      <c r="H247" s="86" t="s">
        <v>252</v>
      </c>
      <c r="I247" s="86" t="str">
        <f>IF(VLOOKUP('Gráficos Semanais'!$H247,AVES!$G$1:$DF$311,(MATCH('Gráficos Semanais'!$D$12,AVES!$H$1:$DF$1,0))+1,0)="","",VLOOKUP('Gráficos Semanais'!$H247,AVES!$G$1:$DF$311,(MATCH('Gráficos Semanais'!$D$12,AVES!$H$1:$DF$1,0))+1,0))</f>
        <v/>
      </c>
      <c r="J247" s="84"/>
      <c r="K247" s="84" t="s">
        <v>775</v>
      </c>
      <c r="L247" s="84" t="e">
        <f>IF(VLOOKUP('Gráficos Semanais'!$K247,' OVOS'!$G$1:$DF$311,(MATCH('Gráficos Semanais'!$D$12,' OVOS'!$H$1:$DF$1,0))+1,0)="","",VLOOKUP('Gráficos Semanais'!$K247,' OVOS'!$G$1:$DF$311,(MATCH('Gráficos Semanais'!$D$12,' OVOS'!$H$1:$DF$1,0))+1,0))</f>
        <v>#N/A</v>
      </c>
      <c r="M247" s="84" t="e" cm="1">
        <f t="array" ref="M247">_xlfn.IFS(L247="","",L247&lt;='Base de dados'!$K$2,'Base de dados'!$K$1,L247&lt;='Base de dados'!$L$3,'Base de dados'!$L$1,L247&lt;='Base de dados'!$M$3,'Base de dados'!$M$1,L247&gt;='Base de dados'!$N$2,'Base de dados'!$N$1)</f>
        <v>#N/A</v>
      </c>
      <c r="N247" s="84"/>
      <c r="O247" s="84"/>
    </row>
    <row r="248" spans="1:15" s="85" customFormat="1" x14ac:dyDescent="0.25">
      <c r="A248" s="47"/>
      <c r="B248" s="47"/>
      <c r="C248" s="47"/>
      <c r="D248" s="47"/>
      <c r="E248" s="47"/>
      <c r="F248" s="47"/>
      <c r="G248" s="47"/>
      <c r="H248" s="86" t="s">
        <v>253</v>
      </c>
      <c r="I248" s="86" t="str">
        <f>IF(VLOOKUP('Gráficos Semanais'!$H248,AVES!$G$1:$DF$311,(MATCH('Gráficos Semanais'!$D$12,AVES!$H$1:$DF$1,0))+1,0)="","",VLOOKUP('Gráficos Semanais'!$H248,AVES!$G$1:$DF$311,(MATCH('Gráficos Semanais'!$D$12,AVES!$H$1:$DF$1,0))+1,0))</f>
        <v/>
      </c>
      <c r="J248" s="84"/>
      <c r="K248" s="84" t="s">
        <v>776</v>
      </c>
      <c r="L248" s="84" t="e">
        <f>IF(VLOOKUP('Gráficos Semanais'!$K248,' OVOS'!$G$1:$DF$311,(MATCH('Gráficos Semanais'!$D$12,' OVOS'!$H$1:$DF$1,0))+1,0)="","",VLOOKUP('Gráficos Semanais'!$K248,' OVOS'!$G$1:$DF$311,(MATCH('Gráficos Semanais'!$D$12,' OVOS'!$H$1:$DF$1,0))+1,0))</f>
        <v>#N/A</v>
      </c>
      <c r="M248" s="84" t="e" cm="1">
        <f t="array" ref="M248">_xlfn.IFS(L248="","",L248&lt;='Base de dados'!$K$2,'Base de dados'!$K$1,L248&lt;='Base de dados'!$L$3,'Base de dados'!$L$1,L248&lt;='Base de dados'!$M$3,'Base de dados'!$M$1,L248&gt;='Base de dados'!$N$2,'Base de dados'!$N$1)</f>
        <v>#N/A</v>
      </c>
      <c r="N248" s="84"/>
      <c r="O248" s="84"/>
    </row>
    <row r="249" spans="1:15" s="85" customFormat="1" x14ac:dyDescent="0.25">
      <c r="A249" s="47"/>
      <c r="B249" s="47"/>
      <c r="C249" s="47"/>
      <c r="D249" s="47"/>
      <c r="E249" s="47"/>
      <c r="F249" s="47"/>
      <c r="G249" s="47"/>
      <c r="H249" s="86" t="s">
        <v>254</v>
      </c>
      <c r="I249" s="86" t="str">
        <f>IF(VLOOKUP('Gráficos Semanais'!$H249,AVES!$G$1:$DF$311,(MATCH('Gráficos Semanais'!$D$12,AVES!$H$1:$DF$1,0))+1,0)="","",VLOOKUP('Gráficos Semanais'!$H249,AVES!$G$1:$DF$311,(MATCH('Gráficos Semanais'!$D$12,AVES!$H$1:$DF$1,0))+1,0))</f>
        <v/>
      </c>
      <c r="J249" s="84"/>
      <c r="K249" s="84" t="s">
        <v>777</v>
      </c>
      <c r="L249" s="84" t="e">
        <f>IF(VLOOKUP('Gráficos Semanais'!$K249,' OVOS'!$G$1:$DF$311,(MATCH('Gráficos Semanais'!$D$12,' OVOS'!$H$1:$DF$1,0))+1,0)="","",VLOOKUP('Gráficos Semanais'!$K249,' OVOS'!$G$1:$DF$311,(MATCH('Gráficos Semanais'!$D$12,' OVOS'!$H$1:$DF$1,0))+1,0))</f>
        <v>#N/A</v>
      </c>
      <c r="M249" s="84" t="e" cm="1">
        <f t="array" ref="M249">_xlfn.IFS(L249="","",L249&lt;='Base de dados'!$K$2,'Base de dados'!$K$1,L249&lt;='Base de dados'!$L$3,'Base de dados'!$L$1,L249&lt;='Base de dados'!$M$3,'Base de dados'!$M$1,L249&gt;='Base de dados'!$N$2,'Base de dados'!$N$1)</f>
        <v>#N/A</v>
      </c>
      <c r="N249" s="84"/>
      <c r="O249" s="84"/>
    </row>
    <row r="250" spans="1:15" s="85" customFormat="1" x14ac:dyDescent="0.25">
      <c r="A250" s="47"/>
      <c r="B250" s="47"/>
      <c r="C250" s="47"/>
      <c r="D250" s="47"/>
      <c r="E250" s="47"/>
      <c r="F250" s="47"/>
      <c r="G250" s="47"/>
      <c r="H250" s="86" t="s">
        <v>255</v>
      </c>
      <c r="I250" s="86" t="str">
        <f>IF(VLOOKUP('Gráficos Semanais'!$H250,AVES!$G$1:$DF$311,(MATCH('Gráficos Semanais'!$D$12,AVES!$H$1:$DF$1,0))+1,0)="","",VLOOKUP('Gráficos Semanais'!$H250,AVES!$G$1:$DF$311,(MATCH('Gráficos Semanais'!$D$12,AVES!$H$1:$DF$1,0))+1,0))</f>
        <v/>
      </c>
      <c r="J250" s="84"/>
      <c r="K250" s="84" t="s">
        <v>778</v>
      </c>
      <c r="L250" s="84" t="e">
        <f>IF(VLOOKUP('Gráficos Semanais'!$K250,' OVOS'!$G$1:$DF$311,(MATCH('Gráficos Semanais'!$D$12,' OVOS'!$H$1:$DF$1,0))+1,0)="","",VLOOKUP('Gráficos Semanais'!$K250,' OVOS'!$G$1:$DF$311,(MATCH('Gráficos Semanais'!$D$12,' OVOS'!$H$1:$DF$1,0))+1,0))</f>
        <v>#N/A</v>
      </c>
      <c r="M250" s="84" t="e" cm="1">
        <f t="array" ref="M250">_xlfn.IFS(L250="","",L250&lt;='Base de dados'!$K$2,'Base de dados'!$K$1,L250&lt;='Base de dados'!$L$3,'Base de dados'!$L$1,L250&lt;='Base de dados'!$M$3,'Base de dados'!$M$1,L250&gt;='Base de dados'!$N$2,'Base de dados'!$N$1)</f>
        <v>#N/A</v>
      </c>
      <c r="N250" s="84"/>
      <c r="O250" s="84"/>
    </row>
    <row r="251" spans="1:15" s="85" customFormat="1" x14ac:dyDescent="0.25">
      <c r="A251" s="47"/>
      <c r="B251" s="47"/>
      <c r="C251" s="47"/>
      <c r="D251" s="47"/>
      <c r="E251" s="47"/>
      <c r="F251" s="47"/>
      <c r="G251" s="47"/>
      <c r="H251" s="86" t="s">
        <v>256</v>
      </c>
      <c r="I251" s="86" t="str">
        <f>IF(VLOOKUP('Gráficos Semanais'!$H251,AVES!$G$1:$DF$311,(MATCH('Gráficos Semanais'!$D$12,AVES!$H$1:$DF$1,0))+1,0)="","",VLOOKUP('Gráficos Semanais'!$H251,AVES!$G$1:$DF$311,(MATCH('Gráficos Semanais'!$D$12,AVES!$H$1:$DF$1,0))+1,0))</f>
        <v/>
      </c>
      <c r="J251" s="84"/>
      <c r="K251" s="84" t="s">
        <v>779</v>
      </c>
      <c r="L251" s="84" t="e">
        <f>IF(VLOOKUP('Gráficos Semanais'!$K251,' OVOS'!$G$1:$DF$311,(MATCH('Gráficos Semanais'!$D$12,' OVOS'!$H$1:$DF$1,0))+1,0)="","",VLOOKUP('Gráficos Semanais'!$K251,' OVOS'!$G$1:$DF$311,(MATCH('Gráficos Semanais'!$D$12,' OVOS'!$H$1:$DF$1,0))+1,0))</f>
        <v>#N/A</v>
      </c>
      <c r="M251" s="84" t="e" cm="1">
        <f t="array" ref="M251">_xlfn.IFS(L251="","",L251&lt;='Base de dados'!$K$2,'Base de dados'!$K$1,L251&lt;='Base de dados'!$L$3,'Base de dados'!$L$1,L251&lt;='Base de dados'!$M$3,'Base de dados'!$M$1,L251&gt;='Base de dados'!$N$2,'Base de dados'!$N$1)</f>
        <v>#N/A</v>
      </c>
      <c r="N251" s="84"/>
      <c r="O251" s="84"/>
    </row>
    <row r="252" spans="1:15" s="85" customFormat="1" x14ac:dyDescent="0.25">
      <c r="A252" s="47"/>
      <c r="B252" s="47"/>
      <c r="C252" s="47"/>
      <c r="D252" s="47"/>
      <c r="E252" s="47"/>
      <c r="F252" s="47"/>
      <c r="G252" s="47"/>
      <c r="H252" s="86" t="s">
        <v>257</v>
      </c>
      <c r="I252" s="86" t="str">
        <f>IF(VLOOKUP('Gráficos Semanais'!$H252,AVES!$G$1:$DF$311,(MATCH('Gráficos Semanais'!$D$12,AVES!$H$1:$DF$1,0))+1,0)="","",VLOOKUP('Gráficos Semanais'!$H252,AVES!$G$1:$DF$311,(MATCH('Gráficos Semanais'!$D$12,AVES!$H$1:$DF$1,0))+1,0))</f>
        <v/>
      </c>
      <c r="J252" s="84"/>
      <c r="K252" s="84" t="s">
        <v>780</v>
      </c>
      <c r="L252" s="84" t="e">
        <f>IF(VLOOKUP('Gráficos Semanais'!$K252,' OVOS'!$G$1:$DF$311,(MATCH('Gráficos Semanais'!$D$12,' OVOS'!$H$1:$DF$1,0))+1,0)="","",VLOOKUP('Gráficos Semanais'!$K252,' OVOS'!$G$1:$DF$311,(MATCH('Gráficos Semanais'!$D$12,' OVOS'!$H$1:$DF$1,0))+1,0))</f>
        <v>#N/A</v>
      </c>
      <c r="M252" s="84" t="e" cm="1">
        <f t="array" ref="M252">_xlfn.IFS(L252="","",L252&lt;='Base de dados'!$K$2,'Base de dados'!$K$1,L252&lt;='Base de dados'!$L$3,'Base de dados'!$L$1,L252&lt;='Base de dados'!$M$3,'Base de dados'!$M$1,L252&gt;='Base de dados'!$N$2,'Base de dados'!$N$1)</f>
        <v>#N/A</v>
      </c>
      <c r="N252" s="84"/>
      <c r="O252" s="84"/>
    </row>
    <row r="253" spans="1:15" s="85" customFormat="1" x14ac:dyDescent="0.25">
      <c r="A253" s="47"/>
      <c r="B253" s="47"/>
      <c r="C253" s="47"/>
      <c r="D253" s="47"/>
      <c r="E253" s="47"/>
      <c r="F253" s="47"/>
      <c r="G253" s="47"/>
      <c r="H253" s="86" t="s">
        <v>258</v>
      </c>
      <c r="I253" s="86" t="str">
        <f>IF(VLOOKUP('Gráficos Semanais'!$H253,AVES!$G$1:$DF$311,(MATCH('Gráficos Semanais'!$D$12,AVES!$H$1:$DF$1,0))+1,0)="","",VLOOKUP('Gráficos Semanais'!$H253,AVES!$G$1:$DF$311,(MATCH('Gráficos Semanais'!$D$12,AVES!$H$1:$DF$1,0))+1,0))</f>
        <v/>
      </c>
      <c r="J253" s="84"/>
      <c r="K253" s="84" t="s">
        <v>781</v>
      </c>
      <c r="L253" s="84" t="e">
        <f>IF(VLOOKUP('Gráficos Semanais'!$K253,' OVOS'!$G$1:$DF$311,(MATCH('Gráficos Semanais'!$D$12,' OVOS'!$H$1:$DF$1,0))+1,0)="","",VLOOKUP('Gráficos Semanais'!$K253,' OVOS'!$G$1:$DF$311,(MATCH('Gráficos Semanais'!$D$12,' OVOS'!$H$1:$DF$1,0))+1,0))</f>
        <v>#N/A</v>
      </c>
      <c r="M253" s="84" t="e" cm="1">
        <f t="array" ref="M253">_xlfn.IFS(L253="","",L253&lt;='Base de dados'!$K$2,'Base de dados'!$K$1,L253&lt;='Base de dados'!$L$3,'Base de dados'!$L$1,L253&lt;='Base de dados'!$M$3,'Base de dados'!$M$1,L253&gt;='Base de dados'!$N$2,'Base de dados'!$N$1)</f>
        <v>#N/A</v>
      </c>
      <c r="N253" s="84"/>
      <c r="O253" s="84"/>
    </row>
    <row r="254" spans="1:15" s="85" customFormat="1" x14ac:dyDescent="0.25">
      <c r="A254" s="47"/>
      <c r="B254" s="47"/>
      <c r="C254" s="47"/>
      <c r="D254" s="47"/>
      <c r="E254" s="47"/>
      <c r="F254" s="47"/>
      <c r="G254" s="47"/>
      <c r="H254" s="86" t="s">
        <v>259</v>
      </c>
      <c r="I254" s="86" t="str">
        <f>IF(VLOOKUP('Gráficos Semanais'!$H254,AVES!$G$1:$DF$311,(MATCH('Gráficos Semanais'!$D$12,AVES!$H$1:$DF$1,0))+1,0)="","",VLOOKUP('Gráficos Semanais'!$H254,AVES!$G$1:$DF$311,(MATCH('Gráficos Semanais'!$D$12,AVES!$H$1:$DF$1,0))+1,0))</f>
        <v/>
      </c>
      <c r="J254" s="84"/>
      <c r="K254" s="84" t="s">
        <v>782</v>
      </c>
      <c r="L254" s="84" t="e">
        <f>IF(VLOOKUP('Gráficos Semanais'!$K254,' OVOS'!$G$1:$DF$311,(MATCH('Gráficos Semanais'!$D$12,' OVOS'!$H$1:$DF$1,0))+1,0)="","",VLOOKUP('Gráficos Semanais'!$K254,' OVOS'!$G$1:$DF$311,(MATCH('Gráficos Semanais'!$D$12,' OVOS'!$H$1:$DF$1,0))+1,0))</f>
        <v>#N/A</v>
      </c>
      <c r="M254" s="84" t="e" cm="1">
        <f t="array" ref="M254">_xlfn.IFS(L254="","",L254&lt;='Base de dados'!$K$2,'Base de dados'!$K$1,L254&lt;='Base de dados'!$L$3,'Base de dados'!$L$1,L254&lt;='Base de dados'!$M$3,'Base de dados'!$M$1,L254&gt;='Base de dados'!$N$2,'Base de dados'!$N$1)</f>
        <v>#N/A</v>
      </c>
      <c r="N254" s="84"/>
      <c r="O254" s="84"/>
    </row>
    <row r="255" spans="1:15" s="85" customFormat="1" x14ac:dyDescent="0.25">
      <c r="A255" s="47"/>
      <c r="B255" s="47"/>
      <c r="C255" s="47"/>
      <c r="D255" s="47"/>
      <c r="E255" s="47"/>
      <c r="F255" s="47"/>
      <c r="G255" s="47"/>
      <c r="H255" s="86" t="s">
        <v>260</v>
      </c>
      <c r="I255" s="86" t="str">
        <f>IF(VLOOKUP('Gráficos Semanais'!$H255,AVES!$G$1:$DF$311,(MATCH('Gráficos Semanais'!$D$12,AVES!$H$1:$DF$1,0))+1,0)="","",VLOOKUP('Gráficos Semanais'!$H255,AVES!$G$1:$DF$311,(MATCH('Gráficos Semanais'!$D$12,AVES!$H$1:$DF$1,0))+1,0))</f>
        <v/>
      </c>
      <c r="J255" s="84"/>
      <c r="K255" s="84" t="s">
        <v>783</v>
      </c>
      <c r="L255" s="84" t="e">
        <f>IF(VLOOKUP('Gráficos Semanais'!$K255,' OVOS'!$G$1:$DF$311,(MATCH('Gráficos Semanais'!$D$12,' OVOS'!$H$1:$DF$1,0))+1,0)="","",VLOOKUP('Gráficos Semanais'!$K255,' OVOS'!$G$1:$DF$311,(MATCH('Gráficos Semanais'!$D$12,' OVOS'!$H$1:$DF$1,0))+1,0))</f>
        <v>#N/A</v>
      </c>
      <c r="M255" s="84" t="e" cm="1">
        <f t="array" ref="M255">_xlfn.IFS(L255="","",L255&lt;='Base de dados'!$K$2,'Base de dados'!$K$1,L255&lt;='Base de dados'!$L$3,'Base de dados'!$L$1,L255&lt;='Base de dados'!$M$3,'Base de dados'!$M$1,L255&gt;='Base de dados'!$N$2,'Base de dados'!$N$1)</f>
        <v>#N/A</v>
      </c>
      <c r="N255" s="84"/>
      <c r="O255" s="84"/>
    </row>
    <row r="256" spans="1:15" s="85" customFormat="1" x14ac:dyDescent="0.25">
      <c r="A256" s="47"/>
      <c r="B256" s="47"/>
      <c r="C256" s="47"/>
      <c r="D256" s="47"/>
      <c r="E256" s="47"/>
      <c r="F256" s="47"/>
      <c r="G256" s="47"/>
      <c r="H256" s="86" t="s">
        <v>261</v>
      </c>
      <c r="I256" s="86" t="str">
        <f>IF(VLOOKUP('Gráficos Semanais'!$H256,AVES!$G$1:$DF$311,(MATCH('Gráficos Semanais'!$D$12,AVES!$H$1:$DF$1,0))+1,0)="","",VLOOKUP('Gráficos Semanais'!$H256,AVES!$G$1:$DF$311,(MATCH('Gráficos Semanais'!$D$12,AVES!$H$1:$DF$1,0))+1,0))</f>
        <v/>
      </c>
      <c r="J256" s="84"/>
      <c r="K256" s="84" t="s">
        <v>784</v>
      </c>
      <c r="L256" s="84" t="e">
        <f>IF(VLOOKUP('Gráficos Semanais'!$K256,' OVOS'!$G$1:$DF$311,(MATCH('Gráficos Semanais'!$D$12,' OVOS'!$H$1:$DF$1,0))+1,0)="","",VLOOKUP('Gráficos Semanais'!$K256,' OVOS'!$G$1:$DF$311,(MATCH('Gráficos Semanais'!$D$12,' OVOS'!$H$1:$DF$1,0))+1,0))</f>
        <v>#N/A</v>
      </c>
      <c r="M256" s="84" t="e" cm="1">
        <f t="array" ref="M256">_xlfn.IFS(L256="","",L256&lt;='Base de dados'!$K$2,'Base de dados'!$K$1,L256&lt;='Base de dados'!$L$3,'Base de dados'!$L$1,L256&lt;='Base de dados'!$M$3,'Base de dados'!$M$1,L256&gt;='Base de dados'!$N$2,'Base de dados'!$N$1)</f>
        <v>#N/A</v>
      </c>
      <c r="N256" s="84"/>
      <c r="O256" s="84"/>
    </row>
    <row r="257" spans="1:15" s="85" customFormat="1" x14ac:dyDescent="0.25">
      <c r="A257" s="47"/>
      <c r="B257" s="47"/>
      <c r="C257" s="47"/>
      <c r="D257" s="47"/>
      <c r="E257" s="47"/>
      <c r="F257" s="47"/>
      <c r="G257" s="47"/>
      <c r="H257" s="86" t="s">
        <v>262</v>
      </c>
      <c r="I257" s="86" t="str">
        <f>IF(VLOOKUP('Gráficos Semanais'!$H257,AVES!$G$1:$DF$311,(MATCH('Gráficos Semanais'!$D$12,AVES!$H$1:$DF$1,0))+1,0)="","",VLOOKUP('Gráficos Semanais'!$H257,AVES!$G$1:$DF$311,(MATCH('Gráficos Semanais'!$D$12,AVES!$H$1:$DF$1,0))+1,0))</f>
        <v/>
      </c>
      <c r="J257" s="84"/>
      <c r="K257" s="84" t="s">
        <v>785</v>
      </c>
      <c r="L257" s="84" t="e">
        <f>IF(VLOOKUP('Gráficos Semanais'!$K257,' OVOS'!$G$1:$DF$311,(MATCH('Gráficos Semanais'!$D$12,' OVOS'!$H$1:$DF$1,0))+1,0)="","",VLOOKUP('Gráficos Semanais'!$K257,' OVOS'!$G$1:$DF$311,(MATCH('Gráficos Semanais'!$D$12,' OVOS'!$H$1:$DF$1,0))+1,0))</f>
        <v>#N/A</v>
      </c>
      <c r="M257" s="84" t="e" cm="1">
        <f t="array" ref="M257">_xlfn.IFS(L257="","",L257&lt;='Base de dados'!$K$2,'Base de dados'!$K$1,L257&lt;='Base de dados'!$L$3,'Base de dados'!$L$1,L257&lt;='Base de dados'!$M$3,'Base de dados'!$M$1,L257&gt;='Base de dados'!$N$2,'Base de dados'!$N$1)</f>
        <v>#N/A</v>
      </c>
      <c r="N257" s="84"/>
      <c r="O257" s="84"/>
    </row>
    <row r="258" spans="1:15" s="85" customFormat="1" x14ac:dyDescent="0.25">
      <c r="A258" s="47"/>
      <c r="B258" s="47"/>
      <c r="C258" s="47"/>
      <c r="D258" s="47"/>
      <c r="E258" s="47"/>
      <c r="F258" s="47"/>
      <c r="G258" s="47"/>
      <c r="H258" s="86" t="s">
        <v>263</v>
      </c>
      <c r="I258" s="86" t="str">
        <f>IF(VLOOKUP('Gráficos Semanais'!$H258,AVES!$G$1:$DF$311,(MATCH('Gráficos Semanais'!$D$12,AVES!$H$1:$DF$1,0))+1,0)="","",VLOOKUP('Gráficos Semanais'!$H258,AVES!$G$1:$DF$311,(MATCH('Gráficos Semanais'!$D$12,AVES!$H$1:$DF$1,0))+1,0))</f>
        <v/>
      </c>
      <c r="J258" s="84"/>
      <c r="K258" s="84" t="s">
        <v>786</v>
      </c>
      <c r="L258" s="84" t="e">
        <f>IF(VLOOKUP('Gráficos Semanais'!$K258,' OVOS'!$G$1:$DF$311,(MATCH('Gráficos Semanais'!$D$12,' OVOS'!$H$1:$DF$1,0))+1,0)="","",VLOOKUP('Gráficos Semanais'!$K258,' OVOS'!$G$1:$DF$311,(MATCH('Gráficos Semanais'!$D$12,' OVOS'!$H$1:$DF$1,0))+1,0))</f>
        <v>#N/A</v>
      </c>
      <c r="M258" s="84" t="e" cm="1">
        <f t="array" ref="M258">_xlfn.IFS(L258="","",L258&lt;='Base de dados'!$K$2,'Base de dados'!$K$1,L258&lt;='Base de dados'!$L$3,'Base de dados'!$L$1,L258&lt;='Base de dados'!$M$3,'Base de dados'!$M$1,L258&gt;='Base de dados'!$N$2,'Base de dados'!$N$1)</f>
        <v>#N/A</v>
      </c>
      <c r="N258" s="84"/>
      <c r="O258" s="84"/>
    </row>
    <row r="259" spans="1:15" s="85" customFormat="1" x14ac:dyDescent="0.25">
      <c r="A259" s="47"/>
      <c r="B259" s="47"/>
      <c r="C259" s="47"/>
      <c r="D259" s="47"/>
      <c r="E259" s="47"/>
      <c r="F259" s="47"/>
      <c r="G259" s="47"/>
      <c r="H259" s="86" t="s">
        <v>264</v>
      </c>
      <c r="I259" s="86" t="str">
        <f>IF(VLOOKUP('Gráficos Semanais'!$H259,AVES!$G$1:$DF$311,(MATCH('Gráficos Semanais'!$D$12,AVES!$H$1:$DF$1,0))+1,0)="","",VLOOKUP('Gráficos Semanais'!$H259,AVES!$G$1:$DF$311,(MATCH('Gráficos Semanais'!$D$12,AVES!$H$1:$DF$1,0))+1,0))</f>
        <v/>
      </c>
      <c r="J259" s="84"/>
      <c r="K259" s="84" t="s">
        <v>787</v>
      </c>
      <c r="L259" s="84" t="e">
        <f>IF(VLOOKUP('Gráficos Semanais'!$K259,' OVOS'!$G$1:$DF$311,(MATCH('Gráficos Semanais'!$D$12,' OVOS'!$H$1:$DF$1,0))+1,0)="","",VLOOKUP('Gráficos Semanais'!$K259,' OVOS'!$G$1:$DF$311,(MATCH('Gráficos Semanais'!$D$12,' OVOS'!$H$1:$DF$1,0))+1,0))</f>
        <v>#N/A</v>
      </c>
      <c r="M259" s="84" t="e" cm="1">
        <f t="array" ref="M259">_xlfn.IFS(L259="","",L259&lt;='Base de dados'!$K$2,'Base de dados'!$K$1,L259&lt;='Base de dados'!$L$3,'Base de dados'!$L$1,L259&lt;='Base de dados'!$M$3,'Base de dados'!$M$1,L259&gt;='Base de dados'!$N$2,'Base de dados'!$N$1)</f>
        <v>#N/A</v>
      </c>
      <c r="N259" s="84"/>
      <c r="O259" s="84"/>
    </row>
    <row r="260" spans="1:15" s="85" customFormat="1" x14ac:dyDescent="0.25">
      <c r="A260" s="47"/>
      <c r="B260" s="47"/>
      <c r="C260" s="47"/>
      <c r="D260" s="47"/>
      <c r="E260" s="47"/>
      <c r="F260" s="47"/>
      <c r="G260" s="47"/>
      <c r="H260" s="86" t="s">
        <v>265</v>
      </c>
      <c r="I260" s="86" t="str">
        <f>IF(VLOOKUP('Gráficos Semanais'!$H260,AVES!$G$1:$DF$311,(MATCH('Gráficos Semanais'!$D$12,AVES!$H$1:$DF$1,0))+1,0)="","",VLOOKUP('Gráficos Semanais'!$H260,AVES!$G$1:$DF$311,(MATCH('Gráficos Semanais'!$D$12,AVES!$H$1:$DF$1,0))+1,0))</f>
        <v/>
      </c>
      <c r="J260" s="84"/>
      <c r="K260" s="84" t="s">
        <v>788</v>
      </c>
      <c r="L260" s="84" t="e">
        <f>IF(VLOOKUP('Gráficos Semanais'!$K260,' OVOS'!$G$1:$DF$311,(MATCH('Gráficos Semanais'!$D$12,' OVOS'!$H$1:$DF$1,0))+1,0)="","",VLOOKUP('Gráficos Semanais'!$K260,' OVOS'!$G$1:$DF$311,(MATCH('Gráficos Semanais'!$D$12,' OVOS'!$H$1:$DF$1,0))+1,0))</f>
        <v>#N/A</v>
      </c>
      <c r="M260" s="84" t="e" cm="1">
        <f t="array" ref="M260">_xlfn.IFS(L260="","",L260&lt;='Base de dados'!$K$2,'Base de dados'!$K$1,L260&lt;='Base de dados'!$L$3,'Base de dados'!$L$1,L260&lt;='Base de dados'!$M$3,'Base de dados'!$M$1,L260&gt;='Base de dados'!$N$2,'Base de dados'!$N$1)</f>
        <v>#N/A</v>
      </c>
      <c r="N260" s="84"/>
      <c r="O260" s="84"/>
    </row>
    <row r="261" spans="1:15" s="85" customFormat="1" x14ac:dyDescent="0.25">
      <c r="A261" s="47"/>
      <c r="B261" s="47"/>
      <c r="C261" s="47"/>
      <c r="D261" s="47"/>
      <c r="E261" s="47"/>
      <c r="F261" s="47"/>
      <c r="G261" s="47"/>
      <c r="H261" s="86" t="s">
        <v>266</v>
      </c>
      <c r="I261" s="86" t="str">
        <f>IF(VLOOKUP('Gráficos Semanais'!$H261,AVES!$G$1:$DF$311,(MATCH('Gráficos Semanais'!$D$12,AVES!$H$1:$DF$1,0))+1,0)="","",VLOOKUP('Gráficos Semanais'!$H261,AVES!$G$1:$DF$311,(MATCH('Gráficos Semanais'!$D$12,AVES!$H$1:$DF$1,0))+1,0))</f>
        <v/>
      </c>
      <c r="J261" s="84"/>
      <c r="K261" s="84" t="s">
        <v>789</v>
      </c>
      <c r="L261" s="84" t="e">
        <f>IF(VLOOKUP('Gráficos Semanais'!$K261,' OVOS'!$G$1:$DF$311,(MATCH('Gráficos Semanais'!$D$12,' OVOS'!$H$1:$DF$1,0))+1,0)="","",VLOOKUP('Gráficos Semanais'!$K261,' OVOS'!$G$1:$DF$311,(MATCH('Gráficos Semanais'!$D$12,' OVOS'!$H$1:$DF$1,0))+1,0))</f>
        <v>#N/A</v>
      </c>
      <c r="M261" s="84" t="e" cm="1">
        <f t="array" ref="M261">_xlfn.IFS(L261="","",L261&lt;='Base de dados'!$K$2,'Base de dados'!$K$1,L261&lt;='Base de dados'!$L$3,'Base de dados'!$L$1,L261&lt;='Base de dados'!$M$3,'Base de dados'!$M$1,L261&gt;='Base de dados'!$N$2,'Base de dados'!$N$1)</f>
        <v>#N/A</v>
      </c>
      <c r="N261" s="84"/>
      <c r="O261" s="84"/>
    </row>
    <row r="262" spans="1:15" s="85" customFormat="1" x14ac:dyDescent="0.25">
      <c r="A262" s="47"/>
      <c r="B262" s="47"/>
      <c r="C262" s="47"/>
      <c r="D262" s="47"/>
      <c r="E262" s="47"/>
      <c r="F262" s="47"/>
      <c r="G262" s="47"/>
      <c r="H262" s="86" t="s">
        <v>267</v>
      </c>
      <c r="I262" s="86" t="str">
        <f>IF(VLOOKUP('Gráficos Semanais'!$H262,AVES!$G$1:$DF$311,(MATCH('Gráficos Semanais'!$D$12,AVES!$H$1:$DF$1,0))+1,0)="","",VLOOKUP('Gráficos Semanais'!$H262,AVES!$G$1:$DF$311,(MATCH('Gráficos Semanais'!$D$12,AVES!$H$1:$DF$1,0))+1,0))</f>
        <v/>
      </c>
      <c r="J262" s="84"/>
      <c r="K262" s="84" t="s">
        <v>790</v>
      </c>
      <c r="L262" s="84" t="e">
        <f>IF(VLOOKUP('Gráficos Semanais'!$K262,' OVOS'!$G$1:$DF$311,(MATCH('Gráficos Semanais'!$D$12,' OVOS'!$H$1:$DF$1,0))+1,0)="","",VLOOKUP('Gráficos Semanais'!$K262,' OVOS'!$G$1:$DF$311,(MATCH('Gráficos Semanais'!$D$12,' OVOS'!$H$1:$DF$1,0))+1,0))</f>
        <v>#N/A</v>
      </c>
      <c r="M262" s="84" t="e" cm="1">
        <f t="array" ref="M262">_xlfn.IFS(L262="","",L262&lt;='Base de dados'!$K$2,'Base de dados'!$K$1,L262&lt;='Base de dados'!$L$3,'Base de dados'!$L$1,L262&lt;='Base de dados'!$M$3,'Base de dados'!$M$1,L262&gt;='Base de dados'!$N$2,'Base de dados'!$N$1)</f>
        <v>#N/A</v>
      </c>
      <c r="N262" s="84"/>
      <c r="O262" s="84"/>
    </row>
    <row r="263" spans="1:15" s="85" customFormat="1" x14ac:dyDescent="0.25">
      <c r="A263" s="47"/>
      <c r="B263" s="47"/>
      <c r="C263" s="47"/>
      <c r="D263" s="47"/>
      <c r="E263" s="47"/>
      <c r="F263" s="47"/>
      <c r="G263" s="47"/>
      <c r="H263" s="86" t="s">
        <v>268</v>
      </c>
      <c r="I263" s="86" t="str">
        <f>IF(VLOOKUP('Gráficos Semanais'!$H263,AVES!$G$1:$DF$311,(MATCH('Gráficos Semanais'!$D$12,AVES!$H$1:$DF$1,0))+1,0)="","",VLOOKUP('Gráficos Semanais'!$H263,AVES!$G$1:$DF$311,(MATCH('Gráficos Semanais'!$D$12,AVES!$H$1:$DF$1,0))+1,0))</f>
        <v/>
      </c>
      <c r="J263" s="84"/>
      <c r="K263" s="84" t="s">
        <v>791</v>
      </c>
      <c r="L263" s="84" t="e">
        <f>IF(VLOOKUP('Gráficos Semanais'!$K263,' OVOS'!$G$1:$DF$311,(MATCH('Gráficos Semanais'!$D$12,' OVOS'!$H$1:$DF$1,0))+1,0)="","",VLOOKUP('Gráficos Semanais'!$K263,' OVOS'!$G$1:$DF$311,(MATCH('Gráficos Semanais'!$D$12,' OVOS'!$H$1:$DF$1,0))+1,0))</f>
        <v>#N/A</v>
      </c>
      <c r="M263" s="84" t="e" cm="1">
        <f t="array" ref="M263">_xlfn.IFS(L263="","",L263&lt;='Base de dados'!$K$2,'Base de dados'!$K$1,L263&lt;='Base de dados'!$L$3,'Base de dados'!$L$1,L263&lt;='Base de dados'!$M$3,'Base de dados'!$M$1,L263&gt;='Base de dados'!$N$2,'Base de dados'!$N$1)</f>
        <v>#N/A</v>
      </c>
      <c r="N263" s="84"/>
      <c r="O263" s="84"/>
    </row>
    <row r="264" spans="1:15" s="85" customFormat="1" x14ac:dyDescent="0.25">
      <c r="A264" s="47"/>
      <c r="B264" s="47"/>
      <c r="C264" s="47"/>
      <c r="D264" s="47"/>
      <c r="E264" s="47"/>
      <c r="F264" s="47"/>
      <c r="G264" s="47"/>
      <c r="H264" s="86" t="s">
        <v>269</v>
      </c>
      <c r="I264" s="86" t="str">
        <f>IF(VLOOKUP('Gráficos Semanais'!$H264,AVES!$G$1:$DF$311,(MATCH('Gráficos Semanais'!$D$12,AVES!$H$1:$DF$1,0))+1,0)="","",VLOOKUP('Gráficos Semanais'!$H264,AVES!$G$1:$DF$311,(MATCH('Gráficos Semanais'!$D$12,AVES!$H$1:$DF$1,0))+1,0))</f>
        <v/>
      </c>
      <c r="J264" s="84"/>
      <c r="K264" s="84" t="s">
        <v>792</v>
      </c>
      <c r="L264" s="84" t="e">
        <f>IF(VLOOKUP('Gráficos Semanais'!$K264,' OVOS'!$G$1:$DF$311,(MATCH('Gráficos Semanais'!$D$12,' OVOS'!$H$1:$DF$1,0))+1,0)="","",VLOOKUP('Gráficos Semanais'!$K264,' OVOS'!$G$1:$DF$311,(MATCH('Gráficos Semanais'!$D$12,' OVOS'!$H$1:$DF$1,0))+1,0))</f>
        <v>#N/A</v>
      </c>
      <c r="M264" s="84" t="e" cm="1">
        <f t="array" ref="M264">_xlfn.IFS(L264="","",L264&lt;='Base de dados'!$K$2,'Base de dados'!$K$1,L264&lt;='Base de dados'!$L$3,'Base de dados'!$L$1,L264&lt;='Base de dados'!$M$3,'Base de dados'!$M$1,L264&gt;='Base de dados'!$N$2,'Base de dados'!$N$1)</f>
        <v>#N/A</v>
      </c>
      <c r="N264" s="84"/>
      <c r="O264" s="84"/>
    </row>
    <row r="265" spans="1:15" s="85" customFormat="1" x14ac:dyDescent="0.25">
      <c r="A265" s="47"/>
      <c r="B265" s="47"/>
      <c r="C265" s="47"/>
      <c r="D265" s="47"/>
      <c r="E265" s="47"/>
      <c r="F265" s="47"/>
      <c r="G265" s="47"/>
      <c r="H265" s="86" t="s">
        <v>270</v>
      </c>
      <c r="I265" s="86" t="str">
        <f>IF(VLOOKUP('Gráficos Semanais'!$H265,AVES!$G$1:$DF$311,(MATCH('Gráficos Semanais'!$D$12,AVES!$H$1:$DF$1,0))+1,0)="","",VLOOKUP('Gráficos Semanais'!$H265,AVES!$G$1:$DF$311,(MATCH('Gráficos Semanais'!$D$12,AVES!$H$1:$DF$1,0))+1,0))</f>
        <v/>
      </c>
      <c r="J265" s="84"/>
      <c r="K265" s="84" t="s">
        <v>793</v>
      </c>
      <c r="L265" s="84" t="e">
        <f>IF(VLOOKUP('Gráficos Semanais'!$K265,' OVOS'!$G$1:$DF$311,(MATCH('Gráficos Semanais'!$D$12,' OVOS'!$H$1:$DF$1,0))+1,0)="","",VLOOKUP('Gráficos Semanais'!$K265,' OVOS'!$G$1:$DF$311,(MATCH('Gráficos Semanais'!$D$12,' OVOS'!$H$1:$DF$1,0))+1,0))</f>
        <v>#N/A</v>
      </c>
      <c r="M265" s="84" t="e" cm="1">
        <f t="array" ref="M265">_xlfn.IFS(L265="","",L265&lt;='Base de dados'!$K$2,'Base de dados'!$K$1,L265&lt;='Base de dados'!$L$3,'Base de dados'!$L$1,L265&lt;='Base de dados'!$M$3,'Base de dados'!$M$1,L265&gt;='Base de dados'!$N$2,'Base de dados'!$N$1)</f>
        <v>#N/A</v>
      </c>
      <c r="N265" s="84"/>
      <c r="O265" s="84"/>
    </row>
    <row r="266" spans="1:15" s="85" customFormat="1" x14ac:dyDescent="0.25">
      <c r="A266" s="47"/>
      <c r="B266" s="47"/>
      <c r="C266" s="47"/>
      <c r="D266" s="47"/>
      <c r="E266" s="47"/>
      <c r="F266" s="47"/>
      <c r="G266" s="47"/>
      <c r="H266" s="86" t="s">
        <v>271</v>
      </c>
      <c r="I266" s="86" t="str">
        <f>IF(VLOOKUP('Gráficos Semanais'!$H266,AVES!$G$1:$DF$311,(MATCH('Gráficos Semanais'!$D$12,AVES!$H$1:$DF$1,0))+1,0)="","",VLOOKUP('Gráficos Semanais'!$H266,AVES!$G$1:$DF$311,(MATCH('Gráficos Semanais'!$D$12,AVES!$H$1:$DF$1,0))+1,0))</f>
        <v/>
      </c>
      <c r="J266" s="84"/>
      <c r="K266" s="84" t="s">
        <v>794</v>
      </c>
      <c r="L266" s="84" t="e">
        <f>IF(VLOOKUP('Gráficos Semanais'!$K266,' OVOS'!$G$1:$DF$311,(MATCH('Gráficos Semanais'!$D$12,' OVOS'!$H$1:$DF$1,0))+1,0)="","",VLOOKUP('Gráficos Semanais'!$K266,' OVOS'!$G$1:$DF$311,(MATCH('Gráficos Semanais'!$D$12,' OVOS'!$H$1:$DF$1,0))+1,0))</f>
        <v>#N/A</v>
      </c>
      <c r="M266" s="84" t="e" cm="1">
        <f t="array" ref="M266">_xlfn.IFS(L266="","",L266&lt;='Base de dados'!$K$2,'Base de dados'!$K$1,L266&lt;='Base de dados'!$L$3,'Base de dados'!$L$1,L266&lt;='Base de dados'!$M$3,'Base de dados'!$M$1,L266&gt;='Base de dados'!$N$2,'Base de dados'!$N$1)</f>
        <v>#N/A</v>
      </c>
      <c r="N266" s="84"/>
      <c r="O266" s="84"/>
    </row>
    <row r="267" spans="1:15" s="85" customFormat="1" x14ac:dyDescent="0.25">
      <c r="A267" s="47"/>
      <c r="B267" s="47"/>
      <c r="C267" s="47"/>
      <c r="D267" s="47"/>
      <c r="E267" s="47"/>
      <c r="F267" s="47"/>
      <c r="G267" s="47"/>
      <c r="H267" s="86" t="s">
        <v>272</v>
      </c>
      <c r="I267" s="86" t="str">
        <f>IF(VLOOKUP('Gráficos Semanais'!$H267,AVES!$G$1:$DF$311,(MATCH('Gráficos Semanais'!$D$12,AVES!$H$1:$DF$1,0))+1,0)="","",VLOOKUP('Gráficos Semanais'!$H267,AVES!$G$1:$DF$311,(MATCH('Gráficos Semanais'!$D$12,AVES!$H$1:$DF$1,0))+1,0))</f>
        <v/>
      </c>
      <c r="J267" s="84"/>
      <c r="K267" s="84" t="s">
        <v>795</v>
      </c>
      <c r="L267" s="84" t="e">
        <f>IF(VLOOKUP('Gráficos Semanais'!$K267,' OVOS'!$G$1:$DF$311,(MATCH('Gráficos Semanais'!$D$12,' OVOS'!$H$1:$DF$1,0))+1,0)="","",VLOOKUP('Gráficos Semanais'!$K267,' OVOS'!$G$1:$DF$311,(MATCH('Gráficos Semanais'!$D$12,' OVOS'!$H$1:$DF$1,0))+1,0))</f>
        <v>#N/A</v>
      </c>
      <c r="M267" s="84" t="e" cm="1">
        <f t="array" ref="M267">_xlfn.IFS(L267="","",L267&lt;='Base de dados'!$K$2,'Base de dados'!$K$1,L267&lt;='Base de dados'!$L$3,'Base de dados'!$L$1,L267&lt;='Base de dados'!$M$3,'Base de dados'!$M$1,L267&gt;='Base de dados'!$N$2,'Base de dados'!$N$1)</f>
        <v>#N/A</v>
      </c>
      <c r="N267" s="84"/>
      <c r="O267" s="84"/>
    </row>
    <row r="268" spans="1:15" s="85" customFormat="1" x14ac:dyDescent="0.25">
      <c r="A268" s="47"/>
      <c r="B268" s="47"/>
      <c r="C268" s="47"/>
      <c r="D268" s="47"/>
      <c r="E268" s="47"/>
      <c r="F268" s="47"/>
      <c r="G268" s="47"/>
      <c r="H268" s="86" t="s">
        <v>273</v>
      </c>
      <c r="I268" s="86" t="str">
        <f>IF(VLOOKUP('Gráficos Semanais'!$H268,AVES!$G$1:$DF$311,(MATCH('Gráficos Semanais'!$D$12,AVES!$H$1:$DF$1,0))+1,0)="","",VLOOKUP('Gráficos Semanais'!$H268,AVES!$G$1:$DF$311,(MATCH('Gráficos Semanais'!$D$12,AVES!$H$1:$DF$1,0))+1,0))</f>
        <v/>
      </c>
      <c r="J268" s="84"/>
      <c r="K268" s="84" t="s">
        <v>796</v>
      </c>
      <c r="L268" s="84" t="e">
        <f>IF(VLOOKUP('Gráficos Semanais'!$K268,' OVOS'!$G$1:$DF$311,(MATCH('Gráficos Semanais'!$D$12,' OVOS'!$H$1:$DF$1,0))+1,0)="","",VLOOKUP('Gráficos Semanais'!$K268,' OVOS'!$G$1:$DF$311,(MATCH('Gráficos Semanais'!$D$12,' OVOS'!$H$1:$DF$1,0))+1,0))</f>
        <v>#N/A</v>
      </c>
      <c r="M268" s="84" t="e" cm="1">
        <f t="array" ref="M268">_xlfn.IFS(L268="","",L268&lt;='Base de dados'!$K$2,'Base de dados'!$K$1,L268&lt;='Base de dados'!$L$3,'Base de dados'!$L$1,L268&lt;='Base de dados'!$M$3,'Base de dados'!$M$1,L268&gt;='Base de dados'!$N$2,'Base de dados'!$N$1)</f>
        <v>#N/A</v>
      </c>
      <c r="N268" s="84"/>
      <c r="O268" s="84"/>
    </row>
    <row r="269" spans="1:15" s="85" customFormat="1" x14ac:dyDescent="0.25">
      <c r="A269" s="47"/>
      <c r="B269" s="47"/>
      <c r="C269" s="47"/>
      <c r="D269" s="47"/>
      <c r="E269" s="47"/>
      <c r="F269" s="47"/>
      <c r="G269" s="47"/>
      <c r="H269" s="86" t="s">
        <v>274</v>
      </c>
      <c r="I269" s="86" t="str">
        <f>IF(VLOOKUP('Gráficos Semanais'!$H269,AVES!$G$1:$DF$311,(MATCH('Gráficos Semanais'!$D$12,AVES!$H$1:$DF$1,0))+1,0)="","",VLOOKUP('Gráficos Semanais'!$H269,AVES!$G$1:$DF$311,(MATCH('Gráficos Semanais'!$D$12,AVES!$H$1:$DF$1,0))+1,0))</f>
        <v/>
      </c>
      <c r="J269" s="84"/>
      <c r="K269" s="84" t="s">
        <v>797</v>
      </c>
      <c r="L269" s="84" t="e">
        <f>IF(VLOOKUP('Gráficos Semanais'!$K269,' OVOS'!$G$1:$DF$311,(MATCH('Gráficos Semanais'!$D$12,' OVOS'!$H$1:$DF$1,0))+1,0)="","",VLOOKUP('Gráficos Semanais'!$K269,' OVOS'!$G$1:$DF$311,(MATCH('Gráficos Semanais'!$D$12,' OVOS'!$H$1:$DF$1,0))+1,0))</f>
        <v>#N/A</v>
      </c>
      <c r="M269" s="84" t="e" cm="1">
        <f t="array" ref="M269">_xlfn.IFS(L269="","",L269&lt;='Base de dados'!$K$2,'Base de dados'!$K$1,L269&lt;='Base de dados'!$L$3,'Base de dados'!$L$1,L269&lt;='Base de dados'!$M$3,'Base de dados'!$M$1,L269&gt;='Base de dados'!$N$2,'Base de dados'!$N$1)</f>
        <v>#N/A</v>
      </c>
      <c r="N269" s="84"/>
      <c r="O269" s="84"/>
    </row>
    <row r="270" spans="1:15" s="85" customFormat="1" x14ac:dyDescent="0.25">
      <c r="A270" s="47"/>
      <c r="B270" s="47"/>
      <c r="C270" s="47"/>
      <c r="D270" s="47"/>
      <c r="E270" s="47"/>
      <c r="F270" s="47"/>
      <c r="G270" s="47"/>
      <c r="H270" s="86" t="s">
        <v>275</v>
      </c>
      <c r="I270" s="86" t="str">
        <f>IF(VLOOKUP('Gráficos Semanais'!$H270,AVES!$G$1:$DF$311,(MATCH('Gráficos Semanais'!$D$12,AVES!$H$1:$DF$1,0))+1,0)="","",VLOOKUP('Gráficos Semanais'!$H270,AVES!$G$1:$DF$311,(MATCH('Gráficos Semanais'!$D$12,AVES!$H$1:$DF$1,0))+1,0))</f>
        <v/>
      </c>
      <c r="J270" s="84"/>
      <c r="K270" s="84" t="s">
        <v>798</v>
      </c>
      <c r="L270" s="84" t="e">
        <f>IF(VLOOKUP('Gráficos Semanais'!$K270,' OVOS'!$G$1:$DF$311,(MATCH('Gráficos Semanais'!$D$12,' OVOS'!$H$1:$DF$1,0))+1,0)="","",VLOOKUP('Gráficos Semanais'!$K270,' OVOS'!$G$1:$DF$311,(MATCH('Gráficos Semanais'!$D$12,' OVOS'!$H$1:$DF$1,0))+1,0))</f>
        <v>#N/A</v>
      </c>
      <c r="M270" s="84" t="e" cm="1">
        <f t="array" ref="M270">_xlfn.IFS(L270="","",L270&lt;='Base de dados'!$K$2,'Base de dados'!$K$1,L270&lt;='Base de dados'!$L$3,'Base de dados'!$L$1,L270&lt;='Base de dados'!$M$3,'Base de dados'!$M$1,L270&gt;='Base de dados'!$N$2,'Base de dados'!$N$1)</f>
        <v>#N/A</v>
      </c>
      <c r="N270" s="84"/>
      <c r="O270" s="84"/>
    </row>
    <row r="271" spans="1:15" s="85" customFormat="1" x14ac:dyDescent="0.25">
      <c r="A271" s="47"/>
      <c r="B271" s="47"/>
      <c r="C271" s="47"/>
      <c r="D271" s="47"/>
      <c r="E271" s="47"/>
      <c r="F271" s="47"/>
      <c r="G271" s="47"/>
      <c r="H271" s="86" t="s">
        <v>276</v>
      </c>
      <c r="I271" s="86" t="str">
        <f>IF(VLOOKUP('Gráficos Semanais'!$H271,AVES!$G$1:$DF$311,(MATCH('Gráficos Semanais'!$D$12,AVES!$H$1:$DF$1,0))+1,0)="","",VLOOKUP('Gráficos Semanais'!$H271,AVES!$G$1:$DF$311,(MATCH('Gráficos Semanais'!$D$12,AVES!$H$1:$DF$1,0))+1,0))</f>
        <v/>
      </c>
      <c r="J271" s="84"/>
      <c r="K271" s="84" t="s">
        <v>799</v>
      </c>
      <c r="L271" s="84" t="e">
        <f>IF(VLOOKUP('Gráficos Semanais'!$K271,' OVOS'!$G$1:$DF$311,(MATCH('Gráficos Semanais'!$D$12,' OVOS'!$H$1:$DF$1,0))+1,0)="","",VLOOKUP('Gráficos Semanais'!$K271,' OVOS'!$G$1:$DF$311,(MATCH('Gráficos Semanais'!$D$12,' OVOS'!$H$1:$DF$1,0))+1,0))</f>
        <v>#N/A</v>
      </c>
      <c r="M271" s="84" t="e" cm="1">
        <f t="array" ref="M271">_xlfn.IFS(L271="","",L271&lt;='Base de dados'!$K$2,'Base de dados'!$K$1,L271&lt;='Base de dados'!$L$3,'Base de dados'!$L$1,L271&lt;='Base de dados'!$M$3,'Base de dados'!$M$1,L271&gt;='Base de dados'!$N$2,'Base de dados'!$N$1)</f>
        <v>#N/A</v>
      </c>
      <c r="N271" s="84"/>
      <c r="O271" s="84"/>
    </row>
    <row r="272" spans="1:15" s="85" customFormat="1" x14ac:dyDescent="0.25">
      <c r="A272" s="47"/>
      <c r="B272" s="47"/>
      <c r="C272" s="47"/>
      <c r="D272" s="47"/>
      <c r="E272" s="47"/>
      <c r="F272" s="47"/>
      <c r="G272" s="47"/>
      <c r="H272" s="86" t="s">
        <v>277</v>
      </c>
      <c r="I272" s="86" t="str">
        <f>IF(VLOOKUP('Gráficos Semanais'!$H272,AVES!$G$1:$DF$311,(MATCH('Gráficos Semanais'!$D$12,AVES!$H$1:$DF$1,0))+1,0)="","",VLOOKUP('Gráficos Semanais'!$H272,AVES!$G$1:$DF$311,(MATCH('Gráficos Semanais'!$D$12,AVES!$H$1:$DF$1,0))+1,0))</f>
        <v/>
      </c>
      <c r="J272" s="84"/>
      <c r="K272" s="84" t="s">
        <v>800</v>
      </c>
      <c r="L272" s="84" t="e">
        <f>IF(VLOOKUP('Gráficos Semanais'!$K272,' OVOS'!$G$1:$DF$311,(MATCH('Gráficos Semanais'!$D$12,' OVOS'!$H$1:$DF$1,0))+1,0)="","",VLOOKUP('Gráficos Semanais'!$K272,' OVOS'!$G$1:$DF$311,(MATCH('Gráficos Semanais'!$D$12,' OVOS'!$H$1:$DF$1,0))+1,0))</f>
        <v>#N/A</v>
      </c>
      <c r="M272" s="84" t="e" cm="1">
        <f t="array" ref="M272">_xlfn.IFS(L272="","",L272&lt;='Base de dados'!$K$2,'Base de dados'!$K$1,L272&lt;='Base de dados'!$L$3,'Base de dados'!$L$1,L272&lt;='Base de dados'!$M$3,'Base de dados'!$M$1,L272&gt;='Base de dados'!$N$2,'Base de dados'!$N$1)</f>
        <v>#N/A</v>
      </c>
      <c r="N272" s="84"/>
      <c r="O272" s="84"/>
    </row>
    <row r="273" spans="1:15" s="85" customFormat="1" x14ac:dyDescent="0.25">
      <c r="A273" s="47"/>
      <c r="B273" s="47"/>
      <c r="C273" s="47"/>
      <c r="D273" s="47"/>
      <c r="E273" s="47"/>
      <c r="F273" s="47"/>
      <c r="G273" s="47"/>
      <c r="H273" s="86" t="s">
        <v>278</v>
      </c>
      <c r="I273" s="86" t="str">
        <f>IF(VLOOKUP('Gráficos Semanais'!$H273,AVES!$G$1:$DF$311,(MATCH('Gráficos Semanais'!$D$12,AVES!$H$1:$DF$1,0))+1,0)="","",VLOOKUP('Gráficos Semanais'!$H273,AVES!$G$1:$DF$311,(MATCH('Gráficos Semanais'!$D$12,AVES!$H$1:$DF$1,0))+1,0))</f>
        <v/>
      </c>
      <c r="J273" s="84"/>
      <c r="K273" s="84" t="s">
        <v>801</v>
      </c>
      <c r="L273" s="84" t="e">
        <f>IF(VLOOKUP('Gráficos Semanais'!$K273,' OVOS'!$G$1:$DF$311,(MATCH('Gráficos Semanais'!$D$12,' OVOS'!$H$1:$DF$1,0))+1,0)="","",VLOOKUP('Gráficos Semanais'!$K273,' OVOS'!$G$1:$DF$311,(MATCH('Gráficos Semanais'!$D$12,' OVOS'!$H$1:$DF$1,0))+1,0))</f>
        <v>#N/A</v>
      </c>
      <c r="M273" s="84" t="e" cm="1">
        <f t="array" ref="M273">_xlfn.IFS(L273="","",L273&lt;='Base de dados'!$K$2,'Base de dados'!$K$1,L273&lt;='Base de dados'!$L$3,'Base de dados'!$L$1,L273&lt;='Base de dados'!$M$3,'Base de dados'!$M$1,L273&gt;='Base de dados'!$N$2,'Base de dados'!$N$1)</f>
        <v>#N/A</v>
      </c>
      <c r="N273" s="84"/>
      <c r="O273" s="84"/>
    </row>
    <row r="274" spans="1:15" s="85" customFormat="1" x14ac:dyDescent="0.25">
      <c r="A274" s="47"/>
      <c r="B274" s="47"/>
      <c r="C274" s="47"/>
      <c r="D274" s="47"/>
      <c r="E274" s="47"/>
      <c r="F274" s="47"/>
      <c r="G274" s="47"/>
      <c r="H274" s="86" t="s">
        <v>279</v>
      </c>
      <c r="I274" s="86" t="str">
        <f>IF(VLOOKUP('Gráficos Semanais'!$H274,AVES!$G$1:$DF$311,(MATCH('Gráficos Semanais'!$D$12,AVES!$H$1:$DF$1,0))+1,0)="","",VLOOKUP('Gráficos Semanais'!$H274,AVES!$G$1:$DF$311,(MATCH('Gráficos Semanais'!$D$12,AVES!$H$1:$DF$1,0))+1,0))</f>
        <v/>
      </c>
      <c r="J274" s="84"/>
      <c r="K274" s="84" t="s">
        <v>802</v>
      </c>
      <c r="L274" s="84" t="e">
        <f>IF(VLOOKUP('Gráficos Semanais'!$K274,' OVOS'!$G$1:$DF$311,(MATCH('Gráficos Semanais'!$D$12,' OVOS'!$H$1:$DF$1,0))+1,0)="","",VLOOKUP('Gráficos Semanais'!$K274,' OVOS'!$G$1:$DF$311,(MATCH('Gráficos Semanais'!$D$12,' OVOS'!$H$1:$DF$1,0))+1,0))</f>
        <v>#N/A</v>
      </c>
      <c r="M274" s="84" t="e" cm="1">
        <f t="array" ref="M274">_xlfn.IFS(L274="","",L274&lt;='Base de dados'!$K$2,'Base de dados'!$K$1,L274&lt;='Base de dados'!$L$3,'Base de dados'!$L$1,L274&lt;='Base de dados'!$M$3,'Base de dados'!$M$1,L274&gt;='Base de dados'!$N$2,'Base de dados'!$N$1)</f>
        <v>#N/A</v>
      </c>
      <c r="N274" s="84"/>
      <c r="O274" s="84"/>
    </row>
    <row r="275" spans="1:15" s="85" customFormat="1" x14ac:dyDescent="0.25">
      <c r="A275" s="47"/>
      <c r="B275" s="47"/>
      <c r="C275" s="47"/>
      <c r="D275" s="47"/>
      <c r="E275" s="47"/>
      <c r="F275" s="47"/>
      <c r="G275" s="47"/>
      <c r="H275" s="86" t="s">
        <v>280</v>
      </c>
      <c r="I275" s="86" t="str">
        <f>IF(VLOOKUP('Gráficos Semanais'!$H275,AVES!$G$1:$DF$311,(MATCH('Gráficos Semanais'!$D$12,AVES!$H$1:$DF$1,0))+1,0)="","",VLOOKUP('Gráficos Semanais'!$H275,AVES!$G$1:$DF$311,(MATCH('Gráficos Semanais'!$D$12,AVES!$H$1:$DF$1,0))+1,0))</f>
        <v/>
      </c>
      <c r="J275" s="84"/>
      <c r="K275" s="84" t="s">
        <v>803</v>
      </c>
      <c r="L275" s="84" t="e">
        <f>IF(VLOOKUP('Gráficos Semanais'!$K275,' OVOS'!$G$1:$DF$311,(MATCH('Gráficos Semanais'!$D$12,' OVOS'!$H$1:$DF$1,0))+1,0)="","",VLOOKUP('Gráficos Semanais'!$K275,' OVOS'!$G$1:$DF$311,(MATCH('Gráficos Semanais'!$D$12,' OVOS'!$H$1:$DF$1,0))+1,0))</f>
        <v>#N/A</v>
      </c>
      <c r="M275" s="84" t="e" cm="1">
        <f t="array" ref="M275">_xlfn.IFS(L275="","",L275&lt;='Base de dados'!$K$2,'Base de dados'!$K$1,L275&lt;='Base de dados'!$L$3,'Base de dados'!$L$1,L275&lt;='Base de dados'!$M$3,'Base de dados'!$M$1,L275&gt;='Base de dados'!$N$2,'Base de dados'!$N$1)</f>
        <v>#N/A</v>
      </c>
      <c r="N275" s="84"/>
      <c r="O275" s="84"/>
    </row>
    <row r="276" spans="1:15" s="85" customFormat="1" x14ac:dyDescent="0.25">
      <c r="A276" s="47"/>
      <c r="B276" s="47"/>
      <c r="C276" s="47"/>
      <c r="D276" s="47"/>
      <c r="E276" s="47"/>
      <c r="F276" s="47"/>
      <c r="G276" s="47"/>
      <c r="H276" s="86" t="s">
        <v>281</v>
      </c>
      <c r="I276" s="86" t="str">
        <f>IF(VLOOKUP('Gráficos Semanais'!$H276,AVES!$G$1:$DF$311,(MATCH('Gráficos Semanais'!$D$12,AVES!$H$1:$DF$1,0))+1,0)="","",VLOOKUP('Gráficos Semanais'!$H276,AVES!$G$1:$DF$311,(MATCH('Gráficos Semanais'!$D$12,AVES!$H$1:$DF$1,0))+1,0))</f>
        <v/>
      </c>
      <c r="J276" s="84"/>
      <c r="K276" s="84" t="s">
        <v>804</v>
      </c>
      <c r="L276" s="84" t="e">
        <f>IF(VLOOKUP('Gráficos Semanais'!$K276,' OVOS'!$G$1:$DF$311,(MATCH('Gráficos Semanais'!$D$12,' OVOS'!$H$1:$DF$1,0))+1,0)="","",VLOOKUP('Gráficos Semanais'!$K276,' OVOS'!$G$1:$DF$311,(MATCH('Gráficos Semanais'!$D$12,' OVOS'!$H$1:$DF$1,0))+1,0))</f>
        <v>#N/A</v>
      </c>
      <c r="M276" s="84" t="e" cm="1">
        <f t="array" ref="M276">_xlfn.IFS(L276="","",L276&lt;='Base de dados'!$K$2,'Base de dados'!$K$1,L276&lt;='Base de dados'!$L$3,'Base de dados'!$L$1,L276&lt;='Base de dados'!$M$3,'Base de dados'!$M$1,L276&gt;='Base de dados'!$N$2,'Base de dados'!$N$1)</f>
        <v>#N/A</v>
      </c>
      <c r="N276" s="84"/>
      <c r="O276" s="84"/>
    </row>
    <row r="277" spans="1:15" s="85" customFormat="1" x14ac:dyDescent="0.25">
      <c r="A277" s="47"/>
      <c r="B277" s="47"/>
      <c r="C277" s="47"/>
      <c r="D277" s="47"/>
      <c r="E277" s="47"/>
      <c r="F277" s="47"/>
      <c r="G277" s="47"/>
      <c r="H277" s="86" t="s">
        <v>282</v>
      </c>
      <c r="I277" s="86" t="str">
        <f>IF(VLOOKUP('Gráficos Semanais'!$H277,AVES!$G$1:$DF$311,(MATCH('Gráficos Semanais'!$D$12,AVES!$H$1:$DF$1,0))+1,0)="","",VLOOKUP('Gráficos Semanais'!$H277,AVES!$G$1:$DF$311,(MATCH('Gráficos Semanais'!$D$12,AVES!$H$1:$DF$1,0))+1,0))</f>
        <v/>
      </c>
      <c r="J277" s="84"/>
      <c r="K277" s="84" t="s">
        <v>805</v>
      </c>
      <c r="L277" s="84" t="e">
        <f>IF(VLOOKUP('Gráficos Semanais'!$K277,' OVOS'!$G$1:$DF$311,(MATCH('Gráficos Semanais'!$D$12,' OVOS'!$H$1:$DF$1,0))+1,0)="","",VLOOKUP('Gráficos Semanais'!$K277,' OVOS'!$G$1:$DF$311,(MATCH('Gráficos Semanais'!$D$12,' OVOS'!$H$1:$DF$1,0))+1,0))</f>
        <v>#N/A</v>
      </c>
      <c r="M277" s="84" t="e" cm="1">
        <f t="array" ref="M277">_xlfn.IFS(L277="","",L277&lt;='Base de dados'!$K$2,'Base de dados'!$K$1,L277&lt;='Base de dados'!$L$3,'Base de dados'!$L$1,L277&lt;='Base de dados'!$M$3,'Base de dados'!$M$1,L277&gt;='Base de dados'!$N$2,'Base de dados'!$N$1)</f>
        <v>#N/A</v>
      </c>
      <c r="N277" s="84"/>
      <c r="O277" s="84"/>
    </row>
    <row r="278" spans="1:15" s="85" customFormat="1" x14ac:dyDescent="0.25">
      <c r="A278" s="47"/>
      <c r="B278" s="47"/>
      <c r="C278" s="47"/>
      <c r="D278" s="47"/>
      <c r="E278" s="47"/>
      <c r="F278" s="47"/>
      <c r="G278" s="47"/>
      <c r="H278" s="86" t="s">
        <v>283</v>
      </c>
      <c r="I278" s="86" t="str">
        <f>IF(VLOOKUP('Gráficos Semanais'!$H278,AVES!$G$1:$DF$311,(MATCH('Gráficos Semanais'!$D$12,AVES!$H$1:$DF$1,0))+1,0)="","",VLOOKUP('Gráficos Semanais'!$H278,AVES!$G$1:$DF$311,(MATCH('Gráficos Semanais'!$D$12,AVES!$H$1:$DF$1,0))+1,0))</f>
        <v/>
      </c>
      <c r="J278" s="84"/>
      <c r="K278" s="84" t="s">
        <v>806</v>
      </c>
      <c r="L278" s="84" t="e">
        <f>IF(VLOOKUP('Gráficos Semanais'!$K278,' OVOS'!$G$1:$DF$311,(MATCH('Gráficos Semanais'!$D$12,' OVOS'!$H$1:$DF$1,0))+1,0)="","",VLOOKUP('Gráficos Semanais'!$K278,' OVOS'!$G$1:$DF$311,(MATCH('Gráficos Semanais'!$D$12,' OVOS'!$H$1:$DF$1,0))+1,0))</f>
        <v>#N/A</v>
      </c>
      <c r="M278" s="84" t="e" cm="1">
        <f t="array" ref="M278">_xlfn.IFS(L278="","",L278&lt;='Base de dados'!$K$2,'Base de dados'!$K$1,L278&lt;='Base de dados'!$L$3,'Base de dados'!$L$1,L278&lt;='Base de dados'!$M$3,'Base de dados'!$M$1,L278&gt;='Base de dados'!$N$2,'Base de dados'!$N$1)</f>
        <v>#N/A</v>
      </c>
      <c r="N278" s="84"/>
      <c r="O278" s="84"/>
    </row>
    <row r="279" spans="1:15" s="85" customFormat="1" x14ac:dyDescent="0.25">
      <c r="A279" s="47"/>
      <c r="B279" s="47"/>
      <c r="C279" s="47"/>
      <c r="D279" s="47"/>
      <c r="E279" s="47"/>
      <c r="F279" s="47"/>
      <c r="G279" s="47"/>
      <c r="H279" s="86" t="s">
        <v>284</v>
      </c>
      <c r="I279" s="86" t="str">
        <f>IF(VLOOKUP('Gráficos Semanais'!$H279,AVES!$G$1:$DF$311,(MATCH('Gráficos Semanais'!$D$12,AVES!$H$1:$DF$1,0))+1,0)="","",VLOOKUP('Gráficos Semanais'!$H279,AVES!$G$1:$DF$311,(MATCH('Gráficos Semanais'!$D$12,AVES!$H$1:$DF$1,0))+1,0))</f>
        <v/>
      </c>
      <c r="J279" s="84"/>
      <c r="K279" s="84" t="s">
        <v>807</v>
      </c>
      <c r="L279" s="84" t="e">
        <f>IF(VLOOKUP('Gráficos Semanais'!$K279,' OVOS'!$G$1:$DF$311,(MATCH('Gráficos Semanais'!$D$12,' OVOS'!$H$1:$DF$1,0))+1,0)="","",VLOOKUP('Gráficos Semanais'!$K279,' OVOS'!$G$1:$DF$311,(MATCH('Gráficos Semanais'!$D$12,' OVOS'!$H$1:$DF$1,0))+1,0))</f>
        <v>#N/A</v>
      </c>
      <c r="M279" s="84" t="e" cm="1">
        <f t="array" ref="M279">_xlfn.IFS(L279="","",L279&lt;='Base de dados'!$K$2,'Base de dados'!$K$1,L279&lt;='Base de dados'!$L$3,'Base de dados'!$L$1,L279&lt;='Base de dados'!$M$3,'Base de dados'!$M$1,L279&gt;='Base de dados'!$N$2,'Base de dados'!$N$1)</f>
        <v>#N/A</v>
      </c>
      <c r="N279" s="84"/>
      <c r="O279" s="84"/>
    </row>
    <row r="280" spans="1:15" s="85" customFormat="1" x14ac:dyDescent="0.25">
      <c r="A280" s="47"/>
      <c r="B280" s="47"/>
      <c r="C280" s="47"/>
      <c r="D280" s="47"/>
      <c r="E280" s="47"/>
      <c r="F280" s="47"/>
      <c r="G280" s="47"/>
      <c r="H280" s="86" t="s">
        <v>285</v>
      </c>
      <c r="I280" s="86" t="str">
        <f>IF(VLOOKUP('Gráficos Semanais'!$H280,AVES!$G$1:$DF$311,(MATCH('Gráficos Semanais'!$D$12,AVES!$H$1:$DF$1,0))+1,0)="","",VLOOKUP('Gráficos Semanais'!$H280,AVES!$G$1:$DF$311,(MATCH('Gráficos Semanais'!$D$12,AVES!$H$1:$DF$1,0))+1,0))</f>
        <v/>
      </c>
      <c r="J280" s="84"/>
      <c r="K280" s="84" t="s">
        <v>808</v>
      </c>
      <c r="L280" s="84" t="e">
        <f>IF(VLOOKUP('Gráficos Semanais'!$K280,' OVOS'!$G$1:$DF$311,(MATCH('Gráficos Semanais'!$D$12,' OVOS'!$H$1:$DF$1,0))+1,0)="","",VLOOKUP('Gráficos Semanais'!$K280,' OVOS'!$G$1:$DF$311,(MATCH('Gráficos Semanais'!$D$12,' OVOS'!$H$1:$DF$1,0))+1,0))</f>
        <v>#N/A</v>
      </c>
      <c r="M280" s="84" t="e" cm="1">
        <f t="array" ref="M280">_xlfn.IFS(L280="","",L280&lt;='Base de dados'!$K$2,'Base de dados'!$K$1,L280&lt;='Base de dados'!$L$3,'Base de dados'!$L$1,L280&lt;='Base de dados'!$M$3,'Base de dados'!$M$1,L280&gt;='Base de dados'!$N$2,'Base de dados'!$N$1)</f>
        <v>#N/A</v>
      </c>
      <c r="N280" s="84"/>
      <c r="O280" s="84"/>
    </row>
    <row r="281" spans="1:15" s="85" customFormat="1" x14ac:dyDescent="0.25">
      <c r="A281" s="47"/>
      <c r="B281" s="47"/>
      <c r="C281" s="47"/>
      <c r="D281" s="47"/>
      <c r="E281" s="47"/>
      <c r="F281" s="47"/>
      <c r="G281" s="47"/>
      <c r="H281" s="86" t="s">
        <v>286</v>
      </c>
      <c r="I281" s="86" t="str">
        <f>IF(VLOOKUP('Gráficos Semanais'!$H281,AVES!$G$1:$DF$311,(MATCH('Gráficos Semanais'!$D$12,AVES!$H$1:$DF$1,0))+1,0)="","",VLOOKUP('Gráficos Semanais'!$H281,AVES!$G$1:$DF$311,(MATCH('Gráficos Semanais'!$D$12,AVES!$H$1:$DF$1,0))+1,0))</f>
        <v/>
      </c>
      <c r="J281" s="84"/>
      <c r="K281" s="84" t="s">
        <v>809</v>
      </c>
      <c r="L281" s="84" t="e">
        <f>IF(VLOOKUP('Gráficos Semanais'!$K281,' OVOS'!$G$1:$DF$311,(MATCH('Gráficos Semanais'!$D$12,' OVOS'!$H$1:$DF$1,0))+1,0)="","",VLOOKUP('Gráficos Semanais'!$K281,' OVOS'!$G$1:$DF$311,(MATCH('Gráficos Semanais'!$D$12,' OVOS'!$H$1:$DF$1,0))+1,0))</f>
        <v>#N/A</v>
      </c>
      <c r="M281" s="84" t="e" cm="1">
        <f t="array" ref="M281">_xlfn.IFS(L281="","",L281&lt;='Base de dados'!$K$2,'Base de dados'!$K$1,L281&lt;='Base de dados'!$L$3,'Base de dados'!$L$1,L281&lt;='Base de dados'!$M$3,'Base de dados'!$M$1,L281&gt;='Base de dados'!$N$2,'Base de dados'!$N$1)</f>
        <v>#N/A</v>
      </c>
      <c r="N281" s="84"/>
      <c r="O281" s="84"/>
    </row>
    <row r="282" spans="1:15" s="85" customFormat="1" x14ac:dyDescent="0.25">
      <c r="A282" s="47"/>
      <c r="B282" s="47"/>
      <c r="C282" s="47"/>
      <c r="D282" s="47"/>
      <c r="E282" s="47"/>
      <c r="F282" s="47"/>
      <c r="G282" s="47"/>
      <c r="H282" s="86" t="s">
        <v>287</v>
      </c>
      <c r="I282" s="86" t="str">
        <f>IF(VLOOKUP('Gráficos Semanais'!$H282,AVES!$G$1:$DF$311,(MATCH('Gráficos Semanais'!$D$12,AVES!$H$1:$DF$1,0))+1,0)="","",VLOOKUP('Gráficos Semanais'!$H282,AVES!$G$1:$DF$311,(MATCH('Gráficos Semanais'!$D$12,AVES!$H$1:$DF$1,0))+1,0))</f>
        <v/>
      </c>
      <c r="J282" s="84"/>
      <c r="K282" s="84" t="s">
        <v>810</v>
      </c>
      <c r="L282" s="84" t="e">
        <f>IF(VLOOKUP('Gráficos Semanais'!$K282,' OVOS'!$G$1:$DF$311,(MATCH('Gráficos Semanais'!$D$12,' OVOS'!$H$1:$DF$1,0))+1,0)="","",VLOOKUP('Gráficos Semanais'!$K282,' OVOS'!$G$1:$DF$311,(MATCH('Gráficos Semanais'!$D$12,' OVOS'!$H$1:$DF$1,0))+1,0))</f>
        <v>#N/A</v>
      </c>
      <c r="M282" s="84" t="e" cm="1">
        <f t="array" ref="M282">_xlfn.IFS(L282="","",L282&lt;='Base de dados'!$K$2,'Base de dados'!$K$1,L282&lt;='Base de dados'!$L$3,'Base de dados'!$L$1,L282&lt;='Base de dados'!$M$3,'Base de dados'!$M$1,L282&gt;='Base de dados'!$N$2,'Base de dados'!$N$1)</f>
        <v>#N/A</v>
      </c>
      <c r="N282" s="84"/>
      <c r="O282" s="84"/>
    </row>
    <row r="283" spans="1:15" s="85" customFormat="1" x14ac:dyDescent="0.25">
      <c r="A283" s="47"/>
      <c r="B283" s="47"/>
      <c r="C283" s="47"/>
      <c r="D283" s="47"/>
      <c r="E283" s="47"/>
      <c r="F283" s="47"/>
      <c r="G283" s="47"/>
      <c r="H283" s="86" t="s">
        <v>288</v>
      </c>
      <c r="I283" s="86" t="str">
        <f>IF(VLOOKUP('Gráficos Semanais'!$H283,AVES!$G$1:$DF$311,(MATCH('Gráficos Semanais'!$D$12,AVES!$H$1:$DF$1,0))+1,0)="","",VLOOKUP('Gráficos Semanais'!$H283,AVES!$G$1:$DF$311,(MATCH('Gráficos Semanais'!$D$12,AVES!$H$1:$DF$1,0))+1,0))</f>
        <v/>
      </c>
      <c r="J283" s="84"/>
      <c r="K283" s="84" t="s">
        <v>811</v>
      </c>
      <c r="L283" s="84" t="e">
        <f>IF(VLOOKUP('Gráficos Semanais'!$K283,' OVOS'!$G$1:$DF$311,(MATCH('Gráficos Semanais'!$D$12,' OVOS'!$H$1:$DF$1,0))+1,0)="","",VLOOKUP('Gráficos Semanais'!$K283,' OVOS'!$G$1:$DF$311,(MATCH('Gráficos Semanais'!$D$12,' OVOS'!$H$1:$DF$1,0))+1,0))</f>
        <v>#N/A</v>
      </c>
      <c r="M283" s="84" t="e" cm="1">
        <f t="array" ref="M283">_xlfn.IFS(L283="","",L283&lt;='Base de dados'!$K$2,'Base de dados'!$K$1,L283&lt;='Base de dados'!$L$3,'Base de dados'!$L$1,L283&lt;='Base de dados'!$M$3,'Base de dados'!$M$1,L283&gt;='Base de dados'!$N$2,'Base de dados'!$N$1)</f>
        <v>#N/A</v>
      </c>
      <c r="N283" s="84"/>
      <c r="O283" s="84"/>
    </row>
    <row r="284" spans="1:15" s="85" customFormat="1" x14ac:dyDescent="0.25">
      <c r="A284" s="47"/>
      <c r="B284" s="47"/>
      <c r="C284" s="47"/>
      <c r="D284" s="47"/>
      <c r="E284" s="47"/>
      <c r="F284" s="47"/>
      <c r="G284" s="47"/>
      <c r="H284" s="86" t="s">
        <v>289</v>
      </c>
      <c r="I284" s="86" t="str">
        <f>IF(VLOOKUP('Gráficos Semanais'!$H284,AVES!$G$1:$DF$311,(MATCH('Gráficos Semanais'!$D$12,AVES!$H$1:$DF$1,0))+1,0)="","",VLOOKUP('Gráficos Semanais'!$H284,AVES!$G$1:$DF$311,(MATCH('Gráficos Semanais'!$D$12,AVES!$H$1:$DF$1,0))+1,0))</f>
        <v/>
      </c>
      <c r="J284" s="84"/>
      <c r="K284" s="84" t="s">
        <v>812</v>
      </c>
      <c r="L284" s="84" t="e">
        <f>IF(VLOOKUP('Gráficos Semanais'!$K284,' OVOS'!$G$1:$DF$311,(MATCH('Gráficos Semanais'!$D$12,' OVOS'!$H$1:$DF$1,0))+1,0)="","",VLOOKUP('Gráficos Semanais'!$K284,' OVOS'!$G$1:$DF$311,(MATCH('Gráficos Semanais'!$D$12,' OVOS'!$H$1:$DF$1,0))+1,0))</f>
        <v>#N/A</v>
      </c>
      <c r="M284" s="84" t="e" cm="1">
        <f t="array" ref="M284">_xlfn.IFS(L284="","",L284&lt;='Base de dados'!$K$2,'Base de dados'!$K$1,L284&lt;='Base de dados'!$L$3,'Base de dados'!$L$1,L284&lt;='Base de dados'!$M$3,'Base de dados'!$M$1,L284&gt;='Base de dados'!$N$2,'Base de dados'!$N$1)</f>
        <v>#N/A</v>
      </c>
      <c r="N284" s="84"/>
      <c r="O284" s="84"/>
    </row>
    <row r="285" spans="1:15" s="85" customFormat="1" x14ac:dyDescent="0.25">
      <c r="A285" s="47"/>
      <c r="B285" s="47"/>
      <c r="C285" s="47"/>
      <c r="D285" s="47"/>
      <c r="E285" s="47"/>
      <c r="F285" s="47"/>
      <c r="G285" s="47"/>
      <c r="H285" s="86" t="s">
        <v>290</v>
      </c>
      <c r="I285" s="86" t="str">
        <f>IF(VLOOKUP('Gráficos Semanais'!$H285,AVES!$G$1:$DF$311,(MATCH('Gráficos Semanais'!$D$12,AVES!$H$1:$DF$1,0))+1,0)="","",VLOOKUP('Gráficos Semanais'!$H285,AVES!$G$1:$DF$311,(MATCH('Gráficos Semanais'!$D$12,AVES!$H$1:$DF$1,0))+1,0))</f>
        <v/>
      </c>
      <c r="J285" s="84"/>
      <c r="K285" s="84" t="s">
        <v>813</v>
      </c>
      <c r="L285" s="84" t="e">
        <f>IF(VLOOKUP('Gráficos Semanais'!$K285,' OVOS'!$G$1:$DF$311,(MATCH('Gráficos Semanais'!$D$12,' OVOS'!$H$1:$DF$1,0))+1,0)="","",VLOOKUP('Gráficos Semanais'!$K285,' OVOS'!$G$1:$DF$311,(MATCH('Gráficos Semanais'!$D$12,' OVOS'!$H$1:$DF$1,0))+1,0))</f>
        <v>#N/A</v>
      </c>
      <c r="M285" s="84" t="e" cm="1">
        <f t="array" ref="M285">_xlfn.IFS(L285="","",L285&lt;='Base de dados'!$K$2,'Base de dados'!$K$1,L285&lt;='Base de dados'!$L$3,'Base de dados'!$L$1,L285&lt;='Base de dados'!$M$3,'Base de dados'!$M$1,L285&gt;='Base de dados'!$N$2,'Base de dados'!$N$1)</f>
        <v>#N/A</v>
      </c>
      <c r="N285" s="84"/>
      <c r="O285" s="84"/>
    </row>
    <row r="286" spans="1:15" s="85" customFormat="1" x14ac:dyDescent="0.25">
      <c r="A286" s="47"/>
      <c r="B286" s="47"/>
      <c r="C286" s="47"/>
      <c r="D286" s="47"/>
      <c r="E286" s="47"/>
      <c r="F286" s="47"/>
      <c r="G286" s="47"/>
      <c r="H286" s="86" t="s">
        <v>291</v>
      </c>
      <c r="I286" s="86" t="str">
        <f>IF(VLOOKUP('Gráficos Semanais'!$H286,AVES!$G$1:$DF$311,(MATCH('Gráficos Semanais'!$D$12,AVES!$H$1:$DF$1,0))+1,0)="","",VLOOKUP('Gráficos Semanais'!$H286,AVES!$G$1:$DF$311,(MATCH('Gráficos Semanais'!$D$12,AVES!$H$1:$DF$1,0))+1,0))</f>
        <v/>
      </c>
      <c r="J286" s="84"/>
      <c r="K286" s="84" t="s">
        <v>814</v>
      </c>
      <c r="L286" s="84" t="e">
        <f>IF(VLOOKUP('Gráficos Semanais'!$K286,' OVOS'!$G$1:$DF$311,(MATCH('Gráficos Semanais'!$D$12,' OVOS'!$H$1:$DF$1,0))+1,0)="","",VLOOKUP('Gráficos Semanais'!$K286,' OVOS'!$G$1:$DF$311,(MATCH('Gráficos Semanais'!$D$12,' OVOS'!$H$1:$DF$1,0))+1,0))</f>
        <v>#N/A</v>
      </c>
      <c r="M286" s="84" t="e" cm="1">
        <f t="array" ref="M286">_xlfn.IFS(L286="","",L286&lt;='Base de dados'!$K$2,'Base de dados'!$K$1,L286&lt;='Base de dados'!$L$3,'Base de dados'!$L$1,L286&lt;='Base de dados'!$M$3,'Base de dados'!$M$1,L286&gt;='Base de dados'!$N$2,'Base de dados'!$N$1)</f>
        <v>#N/A</v>
      </c>
      <c r="N286" s="84"/>
      <c r="O286" s="84"/>
    </row>
    <row r="287" spans="1:15" s="85" customFormat="1" x14ac:dyDescent="0.25">
      <c r="A287" s="47"/>
      <c r="B287" s="47"/>
      <c r="C287" s="47"/>
      <c r="D287" s="47"/>
      <c r="E287" s="47"/>
      <c r="F287" s="47"/>
      <c r="G287" s="47"/>
      <c r="H287" s="86" t="s">
        <v>292</v>
      </c>
      <c r="I287" s="86" t="str">
        <f>IF(VLOOKUP('Gráficos Semanais'!$H287,AVES!$G$1:$DF$311,(MATCH('Gráficos Semanais'!$D$12,AVES!$H$1:$DF$1,0))+1,0)="","",VLOOKUP('Gráficos Semanais'!$H287,AVES!$G$1:$DF$311,(MATCH('Gráficos Semanais'!$D$12,AVES!$H$1:$DF$1,0))+1,0))</f>
        <v/>
      </c>
      <c r="J287" s="84"/>
      <c r="K287" s="84" t="s">
        <v>815</v>
      </c>
      <c r="L287" s="84" t="e">
        <f>IF(VLOOKUP('Gráficos Semanais'!$K287,' OVOS'!$G$1:$DF$311,(MATCH('Gráficos Semanais'!$D$12,' OVOS'!$H$1:$DF$1,0))+1,0)="","",VLOOKUP('Gráficos Semanais'!$K287,' OVOS'!$G$1:$DF$311,(MATCH('Gráficos Semanais'!$D$12,' OVOS'!$H$1:$DF$1,0))+1,0))</f>
        <v>#N/A</v>
      </c>
      <c r="M287" s="84" t="e" cm="1">
        <f t="array" ref="M287">_xlfn.IFS(L287="","",L287&lt;='Base de dados'!$K$2,'Base de dados'!$K$1,L287&lt;='Base de dados'!$L$3,'Base de dados'!$L$1,L287&lt;='Base de dados'!$M$3,'Base de dados'!$M$1,L287&gt;='Base de dados'!$N$2,'Base de dados'!$N$1)</f>
        <v>#N/A</v>
      </c>
      <c r="N287" s="84"/>
      <c r="O287" s="84"/>
    </row>
    <row r="288" spans="1:15" s="85" customFormat="1" x14ac:dyDescent="0.25">
      <c r="A288" s="47"/>
      <c r="B288" s="47"/>
      <c r="C288" s="47"/>
      <c r="D288" s="47"/>
      <c r="E288" s="47"/>
      <c r="F288" s="47"/>
      <c r="G288" s="47"/>
      <c r="H288" s="86" t="s">
        <v>293</v>
      </c>
      <c r="I288" s="86" t="str">
        <f>IF(VLOOKUP('Gráficos Semanais'!$H288,AVES!$G$1:$DF$311,(MATCH('Gráficos Semanais'!$D$12,AVES!$H$1:$DF$1,0))+1,0)="","",VLOOKUP('Gráficos Semanais'!$H288,AVES!$G$1:$DF$311,(MATCH('Gráficos Semanais'!$D$12,AVES!$H$1:$DF$1,0))+1,0))</f>
        <v/>
      </c>
      <c r="J288" s="84"/>
      <c r="K288" s="84" t="s">
        <v>816</v>
      </c>
      <c r="L288" s="84" t="e">
        <f>IF(VLOOKUP('Gráficos Semanais'!$K288,' OVOS'!$G$1:$DF$311,(MATCH('Gráficos Semanais'!$D$12,' OVOS'!$H$1:$DF$1,0))+1,0)="","",VLOOKUP('Gráficos Semanais'!$K288,' OVOS'!$G$1:$DF$311,(MATCH('Gráficos Semanais'!$D$12,' OVOS'!$H$1:$DF$1,0))+1,0))</f>
        <v>#N/A</v>
      </c>
      <c r="M288" s="84" t="e" cm="1">
        <f t="array" ref="M288">_xlfn.IFS(L288="","",L288&lt;='Base de dados'!$K$2,'Base de dados'!$K$1,L288&lt;='Base de dados'!$L$3,'Base de dados'!$L$1,L288&lt;='Base de dados'!$M$3,'Base de dados'!$M$1,L288&gt;='Base de dados'!$N$2,'Base de dados'!$N$1)</f>
        <v>#N/A</v>
      </c>
      <c r="N288" s="84"/>
      <c r="O288" s="84"/>
    </row>
    <row r="289" spans="1:15" s="85" customFormat="1" x14ac:dyDescent="0.25">
      <c r="A289" s="47"/>
      <c r="B289" s="47"/>
      <c r="C289" s="47"/>
      <c r="D289" s="47"/>
      <c r="E289" s="47"/>
      <c r="F289" s="47"/>
      <c r="G289" s="47"/>
      <c r="H289" s="86" t="s">
        <v>294</v>
      </c>
      <c r="I289" s="86" t="str">
        <f>IF(VLOOKUP('Gráficos Semanais'!$H289,AVES!$G$1:$DF$311,(MATCH('Gráficos Semanais'!$D$12,AVES!$H$1:$DF$1,0))+1,0)="","",VLOOKUP('Gráficos Semanais'!$H289,AVES!$G$1:$DF$311,(MATCH('Gráficos Semanais'!$D$12,AVES!$H$1:$DF$1,0))+1,0))</f>
        <v/>
      </c>
      <c r="J289" s="84"/>
      <c r="K289" s="84" t="s">
        <v>817</v>
      </c>
      <c r="L289" s="84" t="e">
        <f>IF(VLOOKUP('Gráficos Semanais'!$K289,' OVOS'!$G$1:$DF$311,(MATCH('Gráficos Semanais'!$D$12,' OVOS'!$H$1:$DF$1,0))+1,0)="","",VLOOKUP('Gráficos Semanais'!$K289,' OVOS'!$G$1:$DF$311,(MATCH('Gráficos Semanais'!$D$12,' OVOS'!$H$1:$DF$1,0))+1,0))</f>
        <v>#N/A</v>
      </c>
      <c r="M289" s="84" t="e" cm="1">
        <f t="array" ref="M289">_xlfn.IFS(L289="","",L289&lt;='Base de dados'!$K$2,'Base de dados'!$K$1,L289&lt;='Base de dados'!$L$3,'Base de dados'!$L$1,L289&lt;='Base de dados'!$M$3,'Base de dados'!$M$1,L289&gt;='Base de dados'!$N$2,'Base de dados'!$N$1)</f>
        <v>#N/A</v>
      </c>
      <c r="N289" s="84"/>
      <c r="O289" s="84"/>
    </row>
    <row r="290" spans="1:15" s="85" customFormat="1" x14ac:dyDescent="0.25">
      <c r="A290" s="47"/>
      <c r="B290" s="47"/>
      <c r="C290" s="47"/>
      <c r="D290" s="47"/>
      <c r="E290" s="47"/>
      <c r="F290" s="47"/>
      <c r="G290" s="47"/>
      <c r="H290" s="86" t="s">
        <v>295</v>
      </c>
      <c r="I290" s="86" t="str">
        <f>IF(VLOOKUP('Gráficos Semanais'!$H290,AVES!$G$1:$DF$311,(MATCH('Gráficos Semanais'!$D$12,AVES!$H$1:$DF$1,0))+1,0)="","",VLOOKUP('Gráficos Semanais'!$H290,AVES!$G$1:$DF$311,(MATCH('Gráficos Semanais'!$D$12,AVES!$H$1:$DF$1,0))+1,0))</f>
        <v/>
      </c>
      <c r="J290" s="84"/>
      <c r="K290" s="84" t="s">
        <v>818</v>
      </c>
      <c r="L290" s="84" t="e">
        <f>IF(VLOOKUP('Gráficos Semanais'!$K290,' OVOS'!$G$1:$DF$311,(MATCH('Gráficos Semanais'!$D$12,' OVOS'!$H$1:$DF$1,0))+1,0)="","",VLOOKUP('Gráficos Semanais'!$K290,' OVOS'!$G$1:$DF$311,(MATCH('Gráficos Semanais'!$D$12,' OVOS'!$H$1:$DF$1,0))+1,0))</f>
        <v>#N/A</v>
      </c>
      <c r="M290" s="84" t="e" cm="1">
        <f t="array" ref="M290">_xlfn.IFS(L290="","",L290&lt;='Base de dados'!$K$2,'Base de dados'!$K$1,L290&lt;='Base de dados'!$L$3,'Base de dados'!$L$1,L290&lt;='Base de dados'!$M$3,'Base de dados'!$M$1,L290&gt;='Base de dados'!$N$2,'Base de dados'!$N$1)</f>
        <v>#N/A</v>
      </c>
      <c r="N290" s="84"/>
      <c r="O290" s="84"/>
    </row>
    <row r="291" spans="1:15" s="85" customFormat="1" x14ac:dyDescent="0.25">
      <c r="A291" s="47"/>
      <c r="B291" s="47"/>
      <c r="C291" s="47"/>
      <c r="D291" s="47"/>
      <c r="E291" s="47"/>
      <c r="F291" s="47"/>
      <c r="G291" s="47"/>
      <c r="H291" s="86" t="s">
        <v>296</v>
      </c>
      <c r="I291" s="86" t="str">
        <f>IF(VLOOKUP('Gráficos Semanais'!$H291,AVES!$G$1:$DF$311,(MATCH('Gráficos Semanais'!$D$12,AVES!$H$1:$DF$1,0))+1,0)="","",VLOOKUP('Gráficos Semanais'!$H291,AVES!$G$1:$DF$311,(MATCH('Gráficos Semanais'!$D$12,AVES!$H$1:$DF$1,0))+1,0))</f>
        <v/>
      </c>
      <c r="J291" s="84"/>
      <c r="K291" s="84" t="s">
        <v>819</v>
      </c>
      <c r="L291" s="84" t="e">
        <f>IF(VLOOKUP('Gráficos Semanais'!$K291,' OVOS'!$G$1:$DF$311,(MATCH('Gráficos Semanais'!$D$12,' OVOS'!$H$1:$DF$1,0))+1,0)="","",VLOOKUP('Gráficos Semanais'!$K291,' OVOS'!$G$1:$DF$311,(MATCH('Gráficos Semanais'!$D$12,' OVOS'!$H$1:$DF$1,0))+1,0))</f>
        <v>#N/A</v>
      </c>
      <c r="M291" s="84" t="e" cm="1">
        <f t="array" ref="M291">_xlfn.IFS(L291="","",L291&lt;='Base de dados'!$K$2,'Base de dados'!$K$1,L291&lt;='Base de dados'!$L$3,'Base de dados'!$L$1,L291&lt;='Base de dados'!$M$3,'Base de dados'!$M$1,L291&gt;='Base de dados'!$N$2,'Base de dados'!$N$1)</f>
        <v>#N/A</v>
      </c>
      <c r="N291" s="84"/>
      <c r="O291" s="84"/>
    </row>
    <row r="292" spans="1:15" s="85" customFormat="1" x14ac:dyDescent="0.25">
      <c r="A292" s="47"/>
      <c r="B292" s="47"/>
      <c r="C292" s="47"/>
      <c r="D292" s="47"/>
      <c r="E292" s="47"/>
      <c r="F292" s="47"/>
      <c r="G292" s="47"/>
      <c r="H292" s="86" t="s">
        <v>297</v>
      </c>
      <c r="I292" s="86" t="str">
        <f>IF(VLOOKUP('Gráficos Semanais'!$H292,AVES!$G$1:$DF$311,(MATCH('Gráficos Semanais'!$D$12,AVES!$H$1:$DF$1,0))+1,0)="","",VLOOKUP('Gráficos Semanais'!$H292,AVES!$G$1:$DF$311,(MATCH('Gráficos Semanais'!$D$12,AVES!$H$1:$DF$1,0))+1,0))</f>
        <v/>
      </c>
      <c r="J292" s="84"/>
      <c r="K292" s="84" t="s">
        <v>820</v>
      </c>
      <c r="L292" s="84" t="e">
        <f>IF(VLOOKUP('Gráficos Semanais'!$K292,' OVOS'!$G$1:$DF$311,(MATCH('Gráficos Semanais'!$D$12,' OVOS'!$H$1:$DF$1,0))+1,0)="","",VLOOKUP('Gráficos Semanais'!$K292,' OVOS'!$G$1:$DF$311,(MATCH('Gráficos Semanais'!$D$12,' OVOS'!$H$1:$DF$1,0))+1,0))</f>
        <v>#N/A</v>
      </c>
      <c r="M292" s="84" t="e" cm="1">
        <f t="array" ref="M292">_xlfn.IFS(L292="","",L292&lt;='Base de dados'!$K$2,'Base de dados'!$K$1,L292&lt;='Base de dados'!$L$3,'Base de dados'!$L$1,L292&lt;='Base de dados'!$M$3,'Base de dados'!$M$1,L292&gt;='Base de dados'!$N$2,'Base de dados'!$N$1)</f>
        <v>#N/A</v>
      </c>
      <c r="N292" s="84"/>
      <c r="O292" s="84"/>
    </row>
    <row r="293" spans="1:15" s="85" customFormat="1" x14ac:dyDescent="0.25">
      <c r="A293" s="47"/>
      <c r="B293" s="47"/>
      <c r="C293" s="47"/>
      <c r="D293" s="47"/>
      <c r="E293" s="47"/>
      <c r="F293" s="47"/>
      <c r="G293" s="47"/>
      <c r="H293" s="86" t="s">
        <v>298</v>
      </c>
      <c r="I293" s="86" t="str">
        <f>IF(VLOOKUP('Gráficos Semanais'!$H293,AVES!$G$1:$DF$311,(MATCH('Gráficos Semanais'!$D$12,AVES!$H$1:$DF$1,0))+1,0)="","",VLOOKUP('Gráficos Semanais'!$H293,AVES!$G$1:$DF$311,(MATCH('Gráficos Semanais'!$D$12,AVES!$H$1:$DF$1,0))+1,0))</f>
        <v/>
      </c>
      <c r="J293" s="84"/>
      <c r="K293" s="84" t="s">
        <v>821</v>
      </c>
      <c r="L293" s="84" t="e">
        <f>IF(VLOOKUP('Gráficos Semanais'!$K293,' OVOS'!$G$1:$DF$311,(MATCH('Gráficos Semanais'!$D$12,' OVOS'!$H$1:$DF$1,0))+1,0)="","",VLOOKUP('Gráficos Semanais'!$K293,' OVOS'!$G$1:$DF$311,(MATCH('Gráficos Semanais'!$D$12,' OVOS'!$H$1:$DF$1,0))+1,0))</f>
        <v>#N/A</v>
      </c>
      <c r="M293" s="84" t="e" cm="1">
        <f t="array" ref="M293">_xlfn.IFS(L293="","",L293&lt;='Base de dados'!$K$2,'Base de dados'!$K$1,L293&lt;='Base de dados'!$L$3,'Base de dados'!$L$1,L293&lt;='Base de dados'!$M$3,'Base de dados'!$M$1,L293&gt;='Base de dados'!$N$2,'Base de dados'!$N$1)</f>
        <v>#N/A</v>
      </c>
      <c r="N293" s="84"/>
      <c r="O293" s="84"/>
    </row>
    <row r="294" spans="1:15" s="85" customFormat="1" x14ac:dyDescent="0.25">
      <c r="A294" s="47"/>
      <c r="B294" s="47"/>
      <c r="C294" s="47"/>
      <c r="D294" s="47"/>
      <c r="E294" s="47"/>
      <c r="F294" s="47"/>
      <c r="G294" s="47"/>
      <c r="H294" s="86" t="s">
        <v>299</v>
      </c>
      <c r="I294" s="86" t="str">
        <f>IF(VLOOKUP('Gráficos Semanais'!$H294,AVES!$G$1:$DF$311,(MATCH('Gráficos Semanais'!$D$12,AVES!$H$1:$DF$1,0))+1,0)="","",VLOOKUP('Gráficos Semanais'!$H294,AVES!$G$1:$DF$311,(MATCH('Gráficos Semanais'!$D$12,AVES!$H$1:$DF$1,0))+1,0))</f>
        <v/>
      </c>
      <c r="J294" s="84"/>
      <c r="K294" s="84" t="s">
        <v>822</v>
      </c>
      <c r="L294" s="84" t="e">
        <f>IF(VLOOKUP('Gráficos Semanais'!$K294,' OVOS'!$G$1:$DF$311,(MATCH('Gráficos Semanais'!$D$12,' OVOS'!$H$1:$DF$1,0))+1,0)="","",VLOOKUP('Gráficos Semanais'!$K294,' OVOS'!$G$1:$DF$311,(MATCH('Gráficos Semanais'!$D$12,' OVOS'!$H$1:$DF$1,0))+1,0))</f>
        <v>#N/A</v>
      </c>
      <c r="M294" s="84" t="e" cm="1">
        <f t="array" ref="M294">_xlfn.IFS(L294="","",L294&lt;='Base de dados'!$K$2,'Base de dados'!$K$1,L294&lt;='Base de dados'!$L$3,'Base de dados'!$L$1,L294&lt;='Base de dados'!$M$3,'Base de dados'!$M$1,L294&gt;='Base de dados'!$N$2,'Base de dados'!$N$1)</f>
        <v>#N/A</v>
      </c>
      <c r="N294" s="84"/>
      <c r="O294" s="84"/>
    </row>
    <row r="295" spans="1:15" s="85" customFormat="1" x14ac:dyDescent="0.25">
      <c r="A295" s="47"/>
      <c r="B295" s="47"/>
      <c r="C295" s="47"/>
      <c r="D295" s="47"/>
      <c r="E295" s="47"/>
      <c r="F295" s="47"/>
      <c r="G295" s="47"/>
      <c r="H295" s="86" t="s">
        <v>300</v>
      </c>
      <c r="I295" s="86" t="str">
        <f>IF(VLOOKUP('Gráficos Semanais'!$H295,AVES!$G$1:$DF$311,(MATCH('Gráficos Semanais'!$D$12,AVES!$H$1:$DF$1,0))+1,0)="","",VLOOKUP('Gráficos Semanais'!$H295,AVES!$G$1:$DF$311,(MATCH('Gráficos Semanais'!$D$12,AVES!$H$1:$DF$1,0))+1,0))</f>
        <v/>
      </c>
      <c r="J295" s="84"/>
      <c r="K295" s="84" t="s">
        <v>823</v>
      </c>
      <c r="L295" s="84" t="e">
        <f>IF(VLOOKUP('Gráficos Semanais'!$K295,' OVOS'!$G$1:$DF$311,(MATCH('Gráficos Semanais'!$D$12,' OVOS'!$H$1:$DF$1,0))+1,0)="","",VLOOKUP('Gráficos Semanais'!$K295,' OVOS'!$G$1:$DF$311,(MATCH('Gráficos Semanais'!$D$12,' OVOS'!$H$1:$DF$1,0))+1,0))</f>
        <v>#N/A</v>
      </c>
      <c r="M295" s="84" t="e" cm="1">
        <f t="array" ref="M295">_xlfn.IFS(L295="","",L295&lt;='Base de dados'!$K$2,'Base de dados'!$K$1,L295&lt;='Base de dados'!$L$3,'Base de dados'!$L$1,L295&lt;='Base de dados'!$M$3,'Base de dados'!$M$1,L295&gt;='Base de dados'!$N$2,'Base de dados'!$N$1)</f>
        <v>#N/A</v>
      </c>
      <c r="N295" s="84"/>
      <c r="O295" s="84"/>
    </row>
    <row r="296" spans="1:15" s="85" customFormat="1" x14ac:dyDescent="0.25">
      <c r="A296" s="47"/>
      <c r="B296" s="47"/>
      <c r="C296" s="47"/>
      <c r="D296" s="47"/>
      <c r="E296" s="47"/>
      <c r="F296" s="47"/>
      <c r="G296" s="47"/>
      <c r="H296" s="86" t="s">
        <v>301</v>
      </c>
      <c r="I296" s="86" t="str">
        <f>IF(VLOOKUP('Gráficos Semanais'!$H296,AVES!$G$1:$DF$311,(MATCH('Gráficos Semanais'!$D$12,AVES!$H$1:$DF$1,0))+1,0)="","",VLOOKUP('Gráficos Semanais'!$H296,AVES!$G$1:$DF$311,(MATCH('Gráficos Semanais'!$D$12,AVES!$H$1:$DF$1,0))+1,0))</f>
        <v/>
      </c>
      <c r="J296" s="84"/>
      <c r="K296" s="84" t="s">
        <v>824</v>
      </c>
      <c r="L296" s="84" t="e">
        <f>IF(VLOOKUP('Gráficos Semanais'!$K296,' OVOS'!$G$1:$DF$311,(MATCH('Gráficos Semanais'!$D$12,' OVOS'!$H$1:$DF$1,0))+1,0)="","",VLOOKUP('Gráficos Semanais'!$K296,' OVOS'!$G$1:$DF$311,(MATCH('Gráficos Semanais'!$D$12,' OVOS'!$H$1:$DF$1,0))+1,0))</f>
        <v>#N/A</v>
      </c>
      <c r="M296" s="84" t="e" cm="1">
        <f t="array" ref="M296">_xlfn.IFS(L296="","",L296&lt;='Base de dados'!$K$2,'Base de dados'!$K$1,L296&lt;='Base de dados'!$L$3,'Base de dados'!$L$1,L296&lt;='Base de dados'!$M$3,'Base de dados'!$M$1,L296&gt;='Base de dados'!$N$2,'Base de dados'!$N$1)</f>
        <v>#N/A</v>
      </c>
      <c r="N296" s="84"/>
      <c r="O296" s="84"/>
    </row>
    <row r="297" spans="1:15" s="85" customFormat="1" x14ac:dyDescent="0.25">
      <c r="A297" s="47"/>
      <c r="B297" s="47"/>
      <c r="C297" s="47"/>
      <c r="D297" s="47"/>
      <c r="E297" s="47"/>
      <c r="F297" s="47"/>
      <c r="G297" s="47"/>
      <c r="H297" s="86" t="s">
        <v>302</v>
      </c>
      <c r="I297" s="86" t="str">
        <f>IF(VLOOKUP('Gráficos Semanais'!$H297,AVES!$G$1:$DF$311,(MATCH('Gráficos Semanais'!$D$12,AVES!$H$1:$DF$1,0))+1,0)="","",VLOOKUP('Gráficos Semanais'!$H297,AVES!$G$1:$DF$311,(MATCH('Gráficos Semanais'!$D$12,AVES!$H$1:$DF$1,0))+1,0))</f>
        <v/>
      </c>
      <c r="J297" s="84"/>
      <c r="K297" s="84" t="s">
        <v>825</v>
      </c>
      <c r="L297" s="84" t="e">
        <f>IF(VLOOKUP('Gráficos Semanais'!$K297,' OVOS'!$G$1:$DF$311,(MATCH('Gráficos Semanais'!$D$12,' OVOS'!$H$1:$DF$1,0))+1,0)="","",VLOOKUP('Gráficos Semanais'!$K297,' OVOS'!$G$1:$DF$311,(MATCH('Gráficos Semanais'!$D$12,' OVOS'!$H$1:$DF$1,0))+1,0))</f>
        <v>#N/A</v>
      </c>
      <c r="M297" s="84" t="e" cm="1">
        <f t="array" ref="M297">_xlfn.IFS(L297="","",L297&lt;='Base de dados'!$K$2,'Base de dados'!$K$1,L297&lt;='Base de dados'!$L$3,'Base de dados'!$L$1,L297&lt;='Base de dados'!$M$3,'Base de dados'!$M$1,L297&gt;='Base de dados'!$N$2,'Base de dados'!$N$1)</f>
        <v>#N/A</v>
      </c>
      <c r="N297" s="84"/>
      <c r="O297" s="84"/>
    </row>
    <row r="298" spans="1:15" s="85" customFormat="1" x14ac:dyDescent="0.25">
      <c r="A298" s="47"/>
      <c r="B298" s="47"/>
      <c r="C298" s="47"/>
      <c r="D298" s="47"/>
      <c r="E298" s="47"/>
      <c r="F298" s="47"/>
      <c r="G298" s="47"/>
      <c r="H298" s="86" t="s">
        <v>303</v>
      </c>
      <c r="I298" s="86" t="str">
        <f>IF(VLOOKUP('Gráficos Semanais'!$H298,AVES!$G$1:$DF$311,(MATCH('Gráficos Semanais'!$D$12,AVES!$H$1:$DF$1,0))+1,0)="","",VLOOKUP('Gráficos Semanais'!$H298,AVES!$G$1:$DF$311,(MATCH('Gráficos Semanais'!$D$12,AVES!$H$1:$DF$1,0))+1,0))</f>
        <v/>
      </c>
      <c r="J298" s="84"/>
      <c r="K298" s="84" t="s">
        <v>826</v>
      </c>
      <c r="L298" s="84" t="e">
        <f>IF(VLOOKUP('Gráficos Semanais'!$K298,' OVOS'!$G$1:$DF$311,(MATCH('Gráficos Semanais'!$D$12,' OVOS'!$H$1:$DF$1,0))+1,0)="","",VLOOKUP('Gráficos Semanais'!$K298,' OVOS'!$G$1:$DF$311,(MATCH('Gráficos Semanais'!$D$12,' OVOS'!$H$1:$DF$1,0))+1,0))</f>
        <v>#N/A</v>
      </c>
      <c r="M298" s="84" t="e" cm="1">
        <f t="array" ref="M298">_xlfn.IFS(L298="","",L298&lt;='Base de dados'!$K$2,'Base de dados'!$K$1,L298&lt;='Base de dados'!$L$3,'Base de dados'!$L$1,L298&lt;='Base de dados'!$M$3,'Base de dados'!$M$1,L298&gt;='Base de dados'!$N$2,'Base de dados'!$N$1)</f>
        <v>#N/A</v>
      </c>
      <c r="N298" s="84"/>
      <c r="O298" s="84"/>
    </row>
    <row r="299" spans="1:15" s="85" customFormat="1" x14ac:dyDescent="0.25">
      <c r="A299" s="47"/>
      <c r="B299" s="47"/>
      <c r="C299" s="47"/>
      <c r="D299" s="47"/>
      <c r="E299" s="47"/>
      <c r="F299" s="47"/>
      <c r="G299" s="47"/>
      <c r="H299" s="86" t="s">
        <v>304</v>
      </c>
      <c r="I299" s="86" t="str">
        <f>IF(VLOOKUP('Gráficos Semanais'!$H299,AVES!$G$1:$DF$311,(MATCH('Gráficos Semanais'!$D$12,AVES!$H$1:$DF$1,0))+1,0)="","",VLOOKUP('Gráficos Semanais'!$H299,AVES!$G$1:$DF$311,(MATCH('Gráficos Semanais'!$D$12,AVES!$H$1:$DF$1,0))+1,0))</f>
        <v/>
      </c>
      <c r="J299" s="84"/>
      <c r="K299" s="84" t="s">
        <v>827</v>
      </c>
      <c r="L299" s="84" t="e">
        <f>IF(VLOOKUP('Gráficos Semanais'!$K299,' OVOS'!$G$1:$DF$311,(MATCH('Gráficos Semanais'!$D$12,' OVOS'!$H$1:$DF$1,0))+1,0)="","",VLOOKUP('Gráficos Semanais'!$K299,' OVOS'!$G$1:$DF$311,(MATCH('Gráficos Semanais'!$D$12,' OVOS'!$H$1:$DF$1,0))+1,0))</f>
        <v>#N/A</v>
      </c>
      <c r="M299" s="84" t="e" cm="1">
        <f t="array" ref="M299">_xlfn.IFS(L299="","",L299&lt;='Base de dados'!$K$2,'Base de dados'!$K$1,L299&lt;='Base de dados'!$L$3,'Base de dados'!$L$1,L299&lt;='Base de dados'!$M$3,'Base de dados'!$M$1,L299&gt;='Base de dados'!$N$2,'Base de dados'!$N$1)</f>
        <v>#N/A</v>
      </c>
      <c r="N299" s="84"/>
      <c r="O299" s="84"/>
    </row>
    <row r="300" spans="1:15" s="85" customFormat="1" x14ac:dyDescent="0.25">
      <c r="A300" s="47"/>
      <c r="B300" s="47"/>
      <c r="C300" s="47"/>
      <c r="D300" s="47"/>
      <c r="E300" s="47"/>
      <c r="F300" s="47"/>
      <c r="G300" s="47"/>
      <c r="H300" s="86" t="s">
        <v>305</v>
      </c>
      <c r="I300" s="86" t="str">
        <f>IF(VLOOKUP('Gráficos Semanais'!$H300,AVES!$G$1:$DF$311,(MATCH('Gráficos Semanais'!$D$12,AVES!$H$1:$DF$1,0))+1,0)="","",VLOOKUP('Gráficos Semanais'!$H300,AVES!$G$1:$DF$311,(MATCH('Gráficos Semanais'!$D$12,AVES!$H$1:$DF$1,0))+1,0))</f>
        <v/>
      </c>
      <c r="J300" s="84"/>
      <c r="K300" s="84" t="s">
        <v>828</v>
      </c>
      <c r="L300" s="84" t="e">
        <f>IF(VLOOKUP('Gráficos Semanais'!$K300,' OVOS'!$G$1:$DF$311,(MATCH('Gráficos Semanais'!$D$12,' OVOS'!$H$1:$DF$1,0))+1,0)="","",VLOOKUP('Gráficos Semanais'!$K300,' OVOS'!$G$1:$DF$311,(MATCH('Gráficos Semanais'!$D$12,' OVOS'!$H$1:$DF$1,0))+1,0))</f>
        <v>#N/A</v>
      </c>
      <c r="M300" s="84" t="e" cm="1">
        <f t="array" ref="M300">_xlfn.IFS(L300="","",L300&lt;='Base de dados'!$K$2,'Base de dados'!$K$1,L300&lt;='Base de dados'!$L$3,'Base de dados'!$L$1,L300&lt;='Base de dados'!$M$3,'Base de dados'!$M$1,L300&gt;='Base de dados'!$N$2,'Base de dados'!$N$1)</f>
        <v>#N/A</v>
      </c>
      <c r="N300" s="84"/>
      <c r="O300" s="84"/>
    </row>
    <row r="301" spans="1:15" s="85" customFormat="1" x14ac:dyDescent="0.25">
      <c r="A301" s="47"/>
      <c r="B301" s="47"/>
      <c r="C301" s="47"/>
      <c r="D301" s="47"/>
      <c r="E301" s="47"/>
      <c r="F301" s="47"/>
      <c r="G301" s="47"/>
      <c r="H301" s="86" t="s">
        <v>306</v>
      </c>
      <c r="I301" s="86" t="str">
        <f>IF(VLOOKUP('Gráficos Semanais'!$H301,AVES!$G$1:$DF$311,(MATCH('Gráficos Semanais'!$D$12,AVES!$H$1:$DF$1,0))+1,0)="","",VLOOKUP('Gráficos Semanais'!$H301,AVES!$G$1:$DF$311,(MATCH('Gráficos Semanais'!$D$12,AVES!$H$1:$DF$1,0))+1,0))</f>
        <v/>
      </c>
      <c r="J301" s="84"/>
      <c r="K301" s="84" t="s">
        <v>829</v>
      </c>
      <c r="L301" s="84" t="e">
        <f>IF(VLOOKUP('Gráficos Semanais'!$K301,' OVOS'!$G$1:$DF$311,(MATCH('Gráficos Semanais'!$D$12,' OVOS'!$H$1:$DF$1,0))+1,0)="","",VLOOKUP('Gráficos Semanais'!$K301,' OVOS'!$G$1:$DF$311,(MATCH('Gráficos Semanais'!$D$12,' OVOS'!$H$1:$DF$1,0))+1,0))</f>
        <v>#N/A</v>
      </c>
      <c r="M301" s="84" t="e" cm="1">
        <f t="array" ref="M301">_xlfn.IFS(L301="","",L301&lt;='Base de dados'!$K$2,'Base de dados'!$K$1,L301&lt;='Base de dados'!$L$3,'Base de dados'!$L$1,L301&lt;='Base de dados'!$M$3,'Base de dados'!$M$1,L301&gt;='Base de dados'!$N$2,'Base de dados'!$N$1)</f>
        <v>#N/A</v>
      </c>
      <c r="N301" s="84"/>
      <c r="O301" s="84"/>
    </row>
    <row r="302" spans="1:15" s="85" customFormat="1" x14ac:dyDescent="0.25">
      <c r="A302" s="47"/>
      <c r="B302" s="47"/>
      <c r="C302" s="47"/>
      <c r="D302" s="47"/>
      <c r="E302" s="47"/>
      <c r="F302" s="47"/>
      <c r="G302" s="47"/>
      <c r="H302" s="86" t="s">
        <v>307</v>
      </c>
      <c r="I302" s="86" t="str">
        <f>IF(VLOOKUP('Gráficos Semanais'!$H302,AVES!$G$1:$DF$311,(MATCH('Gráficos Semanais'!$D$12,AVES!$H$1:$DF$1,0))+1,0)="","",VLOOKUP('Gráficos Semanais'!$H302,AVES!$G$1:$DF$311,(MATCH('Gráficos Semanais'!$D$12,AVES!$H$1:$DF$1,0))+1,0))</f>
        <v/>
      </c>
      <c r="J302" s="84"/>
      <c r="K302" s="84" t="s">
        <v>830</v>
      </c>
      <c r="L302" s="84" t="e">
        <f>IF(VLOOKUP('Gráficos Semanais'!$K302,' OVOS'!$G$1:$DF$311,(MATCH('Gráficos Semanais'!$D$12,' OVOS'!$H$1:$DF$1,0))+1,0)="","",VLOOKUP('Gráficos Semanais'!$K302,' OVOS'!$G$1:$DF$311,(MATCH('Gráficos Semanais'!$D$12,' OVOS'!$H$1:$DF$1,0))+1,0))</f>
        <v>#N/A</v>
      </c>
      <c r="M302" s="84" t="e" cm="1">
        <f t="array" ref="M302">_xlfn.IFS(L302="","",L302&lt;='Base de dados'!$K$2,'Base de dados'!$K$1,L302&lt;='Base de dados'!$L$3,'Base de dados'!$L$1,L302&lt;='Base de dados'!$M$3,'Base de dados'!$M$1,L302&gt;='Base de dados'!$N$2,'Base de dados'!$N$1)</f>
        <v>#N/A</v>
      </c>
      <c r="N302" s="84"/>
      <c r="O302" s="84"/>
    </row>
    <row r="303" spans="1:15" s="85" customFormat="1" x14ac:dyDescent="0.25">
      <c r="A303" s="47"/>
      <c r="B303" s="47"/>
      <c r="C303" s="47"/>
      <c r="D303" s="47"/>
      <c r="E303" s="47"/>
      <c r="F303" s="47"/>
      <c r="G303" s="47"/>
      <c r="H303" s="86" t="s">
        <v>308</v>
      </c>
      <c r="I303" s="86" t="str">
        <f>IF(VLOOKUP('Gráficos Semanais'!$H303,AVES!$G$1:$DF$311,(MATCH('Gráficos Semanais'!$D$12,AVES!$H$1:$DF$1,0))+1,0)="","",VLOOKUP('Gráficos Semanais'!$H303,AVES!$G$1:$DF$311,(MATCH('Gráficos Semanais'!$D$12,AVES!$H$1:$DF$1,0))+1,0))</f>
        <v/>
      </c>
      <c r="J303" s="84"/>
      <c r="K303" s="84" t="s">
        <v>831</v>
      </c>
      <c r="L303" s="84" t="e">
        <f>IF(VLOOKUP('Gráficos Semanais'!$K303,' OVOS'!$G$1:$DF$311,(MATCH('Gráficos Semanais'!$D$12,' OVOS'!$H$1:$DF$1,0))+1,0)="","",VLOOKUP('Gráficos Semanais'!$K303,' OVOS'!$G$1:$DF$311,(MATCH('Gráficos Semanais'!$D$12,' OVOS'!$H$1:$DF$1,0))+1,0))</f>
        <v>#N/A</v>
      </c>
      <c r="M303" s="84" t="e" cm="1">
        <f t="array" ref="M303">_xlfn.IFS(L303="","",L303&lt;='Base de dados'!$K$2,'Base de dados'!$K$1,L303&lt;='Base de dados'!$L$3,'Base de dados'!$L$1,L303&lt;='Base de dados'!$M$3,'Base de dados'!$M$1,L303&gt;='Base de dados'!$N$2,'Base de dados'!$N$1)</f>
        <v>#N/A</v>
      </c>
      <c r="N303" s="84"/>
      <c r="O303" s="84"/>
    </row>
    <row r="304" spans="1:15" s="85" customFormat="1" x14ac:dyDescent="0.25">
      <c r="A304" s="47"/>
      <c r="B304" s="47"/>
      <c r="C304" s="47"/>
      <c r="D304" s="47"/>
      <c r="E304" s="47"/>
      <c r="F304" s="47"/>
      <c r="G304" s="47"/>
      <c r="H304" s="86" t="s">
        <v>309</v>
      </c>
      <c r="I304" s="86" t="str">
        <f>IF(VLOOKUP('Gráficos Semanais'!$H304,AVES!$G$1:$DF$311,(MATCH('Gráficos Semanais'!$D$12,AVES!$H$1:$DF$1,0))+1,0)="","",VLOOKUP('Gráficos Semanais'!$H304,AVES!$G$1:$DF$311,(MATCH('Gráficos Semanais'!$D$12,AVES!$H$1:$DF$1,0))+1,0))</f>
        <v/>
      </c>
      <c r="J304" s="84"/>
      <c r="K304" s="84" t="s">
        <v>832</v>
      </c>
      <c r="L304" s="84" t="e">
        <f>IF(VLOOKUP('Gráficos Semanais'!$K304,' OVOS'!$G$1:$DF$311,(MATCH('Gráficos Semanais'!$D$12,' OVOS'!$H$1:$DF$1,0))+1,0)="","",VLOOKUP('Gráficos Semanais'!$K304,' OVOS'!$G$1:$DF$311,(MATCH('Gráficos Semanais'!$D$12,' OVOS'!$H$1:$DF$1,0))+1,0))</f>
        <v>#N/A</v>
      </c>
      <c r="M304" s="84" t="e" cm="1">
        <f t="array" ref="M304">_xlfn.IFS(L304="","",L304&lt;='Base de dados'!$K$2,'Base de dados'!$K$1,L304&lt;='Base de dados'!$L$3,'Base de dados'!$L$1,L304&lt;='Base de dados'!$M$3,'Base de dados'!$M$1,L304&gt;='Base de dados'!$N$2,'Base de dados'!$N$1)</f>
        <v>#N/A</v>
      </c>
      <c r="N304" s="84"/>
      <c r="O304" s="84"/>
    </row>
    <row r="305" spans="1:15" s="85" customFormat="1" x14ac:dyDescent="0.25">
      <c r="A305" s="47"/>
      <c r="B305" s="47"/>
      <c r="C305" s="47"/>
      <c r="D305" s="47"/>
      <c r="E305" s="47"/>
      <c r="F305" s="47"/>
      <c r="G305" s="47"/>
      <c r="H305" s="86" t="s">
        <v>310</v>
      </c>
      <c r="I305" s="86" t="str">
        <f>IF(VLOOKUP('Gráficos Semanais'!$H305,AVES!$G$1:$DF$311,(MATCH('Gráficos Semanais'!$D$12,AVES!$H$1:$DF$1,0))+1,0)="","",VLOOKUP('Gráficos Semanais'!$H305,AVES!$G$1:$DF$311,(MATCH('Gráficos Semanais'!$D$12,AVES!$H$1:$DF$1,0))+1,0))</f>
        <v/>
      </c>
      <c r="J305" s="84"/>
      <c r="K305" s="84" t="s">
        <v>833</v>
      </c>
      <c r="L305" s="84" t="e">
        <f>IF(VLOOKUP('Gráficos Semanais'!$K305,' OVOS'!$G$1:$DF$311,(MATCH('Gráficos Semanais'!$D$12,' OVOS'!$H$1:$DF$1,0))+1,0)="","",VLOOKUP('Gráficos Semanais'!$K305,' OVOS'!$G$1:$DF$311,(MATCH('Gráficos Semanais'!$D$12,' OVOS'!$H$1:$DF$1,0))+1,0))</f>
        <v>#N/A</v>
      </c>
      <c r="M305" s="84" t="e" cm="1">
        <f t="array" ref="M305">_xlfn.IFS(L305="","",L305&lt;='Base de dados'!$K$2,'Base de dados'!$K$1,L305&lt;='Base de dados'!$L$3,'Base de dados'!$L$1,L305&lt;='Base de dados'!$M$3,'Base de dados'!$M$1,L305&gt;='Base de dados'!$N$2,'Base de dados'!$N$1)</f>
        <v>#N/A</v>
      </c>
      <c r="N305" s="84"/>
      <c r="O305" s="84"/>
    </row>
    <row r="306" spans="1:15" s="85" customFormat="1" x14ac:dyDescent="0.25">
      <c r="A306" s="47"/>
      <c r="B306" s="47"/>
      <c r="C306" s="47"/>
      <c r="D306" s="47"/>
      <c r="E306" s="47"/>
      <c r="F306" s="47"/>
      <c r="G306" s="47"/>
      <c r="H306" s="86" t="s">
        <v>311</v>
      </c>
      <c r="I306" s="86" t="str">
        <f>IF(VLOOKUP('Gráficos Semanais'!$H306,AVES!$G$1:$DF$311,(MATCH('Gráficos Semanais'!$D$12,AVES!$H$1:$DF$1,0))+1,0)="","",VLOOKUP('Gráficos Semanais'!$H306,AVES!$G$1:$DF$311,(MATCH('Gráficos Semanais'!$D$12,AVES!$H$1:$DF$1,0))+1,0))</f>
        <v/>
      </c>
      <c r="J306" s="84"/>
      <c r="K306" s="84" t="s">
        <v>834</v>
      </c>
      <c r="L306" s="84" t="e">
        <f>IF(VLOOKUP('Gráficos Semanais'!$K306,' OVOS'!$G$1:$DF$311,(MATCH('Gráficos Semanais'!$D$12,' OVOS'!$H$1:$DF$1,0))+1,0)="","",VLOOKUP('Gráficos Semanais'!$K306,' OVOS'!$G$1:$DF$311,(MATCH('Gráficos Semanais'!$D$12,' OVOS'!$H$1:$DF$1,0))+1,0))</f>
        <v>#N/A</v>
      </c>
      <c r="M306" s="84" t="e" cm="1">
        <f t="array" ref="M306">_xlfn.IFS(L306="","",L306&lt;='Base de dados'!$K$2,'Base de dados'!$K$1,L306&lt;='Base de dados'!$L$3,'Base de dados'!$L$1,L306&lt;='Base de dados'!$M$3,'Base de dados'!$M$1,L306&gt;='Base de dados'!$N$2,'Base de dados'!$N$1)</f>
        <v>#N/A</v>
      </c>
      <c r="N306" s="84"/>
      <c r="O306" s="84"/>
    </row>
    <row r="307" spans="1:15" s="85" customFormat="1" x14ac:dyDescent="0.25">
      <c r="A307" s="47"/>
      <c r="B307" s="47"/>
      <c r="C307" s="47"/>
      <c r="D307" s="47"/>
      <c r="E307" s="47"/>
      <c r="F307" s="47"/>
      <c r="G307" s="47"/>
      <c r="H307" s="86" t="s">
        <v>312</v>
      </c>
      <c r="I307" s="86" t="str">
        <f>IF(VLOOKUP('Gráficos Semanais'!$H307,AVES!$G$1:$DF$311,(MATCH('Gráficos Semanais'!$D$12,AVES!$H$1:$DF$1,0))+1,0)="","",VLOOKUP('Gráficos Semanais'!$H307,AVES!$G$1:$DF$311,(MATCH('Gráficos Semanais'!$D$12,AVES!$H$1:$DF$1,0))+1,0))</f>
        <v/>
      </c>
      <c r="J307" s="84"/>
      <c r="K307" s="84" t="s">
        <v>835</v>
      </c>
      <c r="L307" s="84" t="e">
        <f>IF(VLOOKUP('Gráficos Semanais'!$K307,' OVOS'!$G$1:$DF$311,(MATCH('Gráficos Semanais'!$D$12,' OVOS'!$H$1:$DF$1,0))+1,0)="","",VLOOKUP('Gráficos Semanais'!$K307,' OVOS'!$G$1:$DF$311,(MATCH('Gráficos Semanais'!$D$12,' OVOS'!$H$1:$DF$1,0))+1,0))</f>
        <v>#N/A</v>
      </c>
      <c r="M307" s="84" t="e" cm="1">
        <f t="array" ref="M307">_xlfn.IFS(L307="","",L307&lt;='Base de dados'!$K$2,'Base de dados'!$K$1,L307&lt;='Base de dados'!$L$3,'Base de dados'!$L$1,L307&lt;='Base de dados'!$M$3,'Base de dados'!$M$1,L307&gt;='Base de dados'!$N$2,'Base de dados'!$N$1)</f>
        <v>#N/A</v>
      </c>
      <c r="N307" s="84"/>
      <c r="O307" s="84"/>
    </row>
    <row r="308" spans="1:15" s="85" customFormat="1" x14ac:dyDescent="0.25">
      <c r="A308" s="47"/>
      <c r="B308" s="47"/>
      <c r="C308" s="47"/>
      <c r="D308" s="47"/>
      <c r="E308" s="47"/>
      <c r="F308" s="47"/>
      <c r="G308" s="47"/>
      <c r="H308" s="86" t="s">
        <v>313</v>
      </c>
      <c r="I308" s="86" t="str">
        <f>IF(VLOOKUP('Gráficos Semanais'!$H308,AVES!$G$1:$DF$311,(MATCH('Gráficos Semanais'!$D$12,AVES!$H$1:$DF$1,0))+1,0)="","",VLOOKUP('Gráficos Semanais'!$H308,AVES!$G$1:$DF$311,(MATCH('Gráficos Semanais'!$D$12,AVES!$H$1:$DF$1,0))+1,0))</f>
        <v/>
      </c>
      <c r="J308" s="84"/>
      <c r="K308" s="84" t="s">
        <v>836</v>
      </c>
      <c r="L308" s="84" t="e">
        <f>IF(VLOOKUP('Gráficos Semanais'!$K308,' OVOS'!$G$1:$DF$311,(MATCH('Gráficos Semanais'!$D$12,' OVOS'!$H$1:$DF$1,0))+1,0)="","",VLOOKUP('Gráficos Semanais'!$K308,' OVOS'!$G$1:$DF$311,(MATCH('Gráficos Semanais'!$D$12,' OVOS'!$H$1:$DF$1,0))+1,0))</f>
        <v>#N/A</v>
      </c>
      <c r="M308" s="84" t="e" cm="1">
        <f t="array" ref="M308">_xlfn.IFS(L308="","",L308&lt;='Base de dados'!$K$2,'Base de dados'!$K$1,L308&lt;='Base de dados'!$L$3,'Base de dados'!$L$1,L308&lt;='Base de dados'!$M$3,'Base de dados'!$M$1,L308&gt;='Base de dados'!$N$2,'Base de dados'!$N$1)</f>
        <v>#N/A</v>
      </c>
      <c r="N308" s="84"/>
      <c r="O308" s="84"/>
    </row>
    <row r="309" spans="1:15" s="85" customFormat="1" x14ac:dyDescent="0.25">
      <c r="A309" s="47"/>
      <c r="B309" s="47"/>
      <c r="C309" s="47"/>
      <c r="D309" s="47"/>
      <c r="E309" s="47"/>
      <c r="F309" s="47"/>
      <c r="G309" s="47"/>
      <c r="H309" s="86" t="s">
        <v>314</v>
      </c>
      <c r="I309" s="86" t="str">
        <f>IF(VLOOKUP('Gráficos Semanais'!$H309,AVES!$G$1:$DF$311,(MATCH('Gráficos Semanais'!$D$12,AVES!$H$1:$DF$1,0))+1,0)="","",VLOOKUP('Gráficos Semanais'!$H309,AVES!$G$1:$DF$311,(MATCH('Gráficos Semanais'!$D$12,AVES!$H$1:$DF$1,0))+1,0))</f>
        <v/>
      </c>
      <c r="J309" s="84"/>
      <c r="K309" s="84" t="s">
        <v>837</v>
      </c>
      <c r="L309" s="84" t="e">
        <f>IF(VLOOKUP('Gráficos Semanais'!$K309,' OVOS'!$G$1:$DF$311,(MATCH('Gráficos Semanais'!$D$12,' OVOS'!$H$1:$DF$1,0))+1,0)="","",VLOOKUP('Gráficos Semanais'!$K309,' OVOS'!$G$1:$DF$311,(MATCH('Gráficos Semanais'!$D$12,' OVOS'!$H$1:$DF$1,0))+1,0))</f>
        <v>#N/A</v>
      </c>
      <c r="M309" s="84" t="e" cm="1">
        <f t="array" ref="M309">_xlfn.IFS(L309="","",L309&lt;='Base de dados'!$K$2,'Base de dados'!$K$1,L309&lt;='Base de dados'!$L$3,'Base de dados'!$L$1,L309&lt;='Base de dados'!$M$3,'Base de dados'!$M$1,L309&gt;='Base de dados'!$N$2,'Base de dados'!$N$1)</f>
        <v>#N/A</v>
      </c>
      <c r="N309" s="84"/>
      <c r="O309" s="84"/>
    </row>
    <row r="310" spans="1:15" s="47" customFormat="1" x14ac:dyDescent="0.25">
      <c r="I310" s="58"/>
      <c r="J310" s="58"/>
      <c r="K310" s="58"/>
      <c r="L310" s="58"/>
      <c r="M310" s="58"/>
      <c r="N310" s="58"/>
      <c r="O310" s="58"/>
    </row>
    <row r="311" spans="1:15" s="47" customFormat="1" x14ac:dyDescent="0.25">
      <c r="I311" s="58"/>
      <c r="J311" s="58"/>
      <c r="K311" s="58"/>
      <c r="L311" s="58"/>
      <c r="M311" s="58"/>
      <c r="N311" s="58"/>
      <c r="O311" s="58"/>
    </row>
    <row r="312" spans="1:15" s="47" customFormat="1" x14ac:dyDescent="0.25">
      <c r="I312" s="58"/>
      <c r="J312" s="58"/>
      <c r="K312" s="58"/>
      <c r="L312" s="58"/>
      <c r="M312" s="58"/>
      <c r="N312" s="58"/>
      <c r="O312" s="58"/>
    </row>
    <row r="313" spans="1:15" s="47" customFormat="1" x14ac:dyDescent="0.25">
      <c r="I313" s="58"/>
      <c r="J313" s="58"/>
      <c r="K313" s="58"/>
      <c r="L313" s="58"/>
      <c r="M313" s="58"/>
      <c r="N313" s="58"/>
      <c r="O313" s="58"/>
    </row>
    <row r="314" spans="1:15" s="47" customFormat="1" x14ac:dyDescent="0.25">
      <c r="I314" s="58"/>
      <c r="J314" s="58"/>
      <c r="K314" s="58"/>
      <c r="L314" s="58"/>
      <c r="M314" s="58"/>
      <c r="N314" s="58"/>
      <c r="O314" s="58"/>
    </row>
    <row r="315" spans="1:15" s="47" customFormat="1" x14ac:dyDescent="0.25">
      <c r="I315" s="58"/>
      <c r="J315" s="58"/>
      <c r="K315" s="58"/>
      <c r="L315" s="58"/>
      <c r="M315" s="58"/>
      <c r="N315" s="58"/>
      <c r="O315" s="58"/>
    </row>
    <row r="316" spans="1:15" s="47" customFormat="1" x14ac:dyDescent="0.25">
      <c r="I316" s="58"/>
      <c r="J316" s="58"/>
      <c r="K316" s="58"/>
      <c r="L316" s="58"/>
      <c r="M316" s="58"/>
      <c r="N316" s="58"/>
      <c r="O316" s="58"/>
    </row>
    <row r="317" spans="1:15" s="47" customFormat="1" x14ac:dyDescent="0.25">
      <c r="I317" s="58"/>
      <c r="J317" s="58"/>
      <c r="K317" s="58"/>
      <c r="L317" s="58"/>
      <c r="M317" s="58"/>
      <c r="N317" s="58"/>
      <c r="O317" s="58"/>
    </row>
    <row r="318" spans="1:15" s="47" customFormat="1" x14ac:dyDescent="0.25">
      <c r="I318" s="58"/>
      <c r="J318" s="58"/>
      <c r="K318" s="58"/>
      <c r="L318" s="58"/>
      <c r="M318" s="58"/>
      <c r="N318" s="58"/>
      <c r="O318" s="58"/>
    </row>
    <row r="319" spans="1:15" s="47" customFormat="1" x14ac:dyDescent="0.25">
      <c r="I319" s="58"/>
      <c r="J319" s="58"/>
      <c r="K319" s="58"/>
      <c r="L319" s="58"/>
      <c r="M319" s="58"/>
      <c r="N319" s="58"/>
      <c r="O319" s="58"/>
    </row>
    <row r="320" spans="1:15" s="47" customFormat="1" x14ac:dyDescent="0.25">
      <c r="I320" s="58"/>
      <c r="J320" s="58"/>
      <c r="K320" s="58"/>
      <c r="L320" s="58"/>
      <c r="M320" s="58"/>
      <c r="N320" s="58"/>
      <c r="O320" s="58"/>
    </row>
    <row r="321" spans="9:15" s="47" customFormat="1" x14ac:dyDescent="0.25">
      <c r="I321" s="58"/>
      <c r="J321" s="58"/>
      <c r="K321" s="58"/>
      <c r="L321" s="58"/>
      <c r="M321" s="58"/>
      <c r="N321" s="58"/>
      <c r="O321" s="58"/>
    </row>
    <row r="322" spans="9:15" s="47" customFormat="1" x14ac:dyDescent="0.25">
      <c r="I322" s="58"/>
      <c r="J322" s="58"/>
      <c r="K322" s="58"/>
      <c r="L322" s="58"/>
      <c r="M322" s="58"/>
      <c r="N322" s="58"/>
      <c r="O322" s="58"/>
    </row>
  </sheetData>
  <sheetProtection algorithmName="SHA-512" hashValue="GoBlFvWKOYJGP3wjU6ArEX3SFFCMHLfLZfch+eZr3fqKk9DT+seMq1JEicsvgueybQ2woUuFAak6cjL2lueiPg==" saltValue="Ab64FZgnglh3UjnHdrARfg==" spinCount="100000" sheet="1" objects="1" scenarios="1" selectLockedCells="1"/>
  <mergeCells count="5">
    <mergeCell ref="C6:E6"/>
    <mergeCell ref="C12:C13"/>
    <mergeCell ref="D12:D13"/>
    <mergeCell ref="A16:A18"/>
    <mergeCell ref="A20:A22"/>
  </mergeCells>
  <phoneticPr fontId="5" type="noConversion"/>
  <conditionalFormatting sqref="C18">
    <cfRule type="cellIs" dxfId="6" priority="5" operator="greaterThanOrEqual">
      <formula>0.85</formula>
    </cfRule>
    <cfRule type="cellIs" dxfId="5" priority="6" operator="between">
      <formula>0.6</formula>
      <formula>0.84</formula>
    </cfRule>
    <cfRule type="cellIs" dxfId="4" priority="7" operator="lessThan">
      <formula>0.6</formula>
    </cfRule>
  </conditionalFormatting>
  <conditionalFormatting sqref="C16">
    <cfRule type="cellIs" dxfId="3" priority="3" operator="greaterThanOrEqual">
      <formula>$C$17</formula>
    </cfRule>
    <cfRule type="cellIs" dxfId="2" priority="4" operator="lessThan">
      <formula>$C$17</formula>
    </cfRule>
  </conditionalFormatting>
  <conditionalFormatting sqref="C20">
    <cfRule type="cellIs" dxfId="1" priority="1" operator="greaterThanOrEqual">
      <formula>$C$21</formula>
    </cfRule>
    <cfRule type="cellIs" dxfId="0" priority="2" operator="lessThan">
      <formula>$C$21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I2 I4 L10 M10:M309 L11:L309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4FB6F1-ED99-4208-8C88-8618A5A77F94}">
          <x14:formula1>
            <xm:f>'Base de dados'!$C$1:$F$1</xm:f>
          </x14:formula1>
          <xm:sqref>C9</xm:sqref>
        </x14:dataValidation>
        <x14:dataValidation type="list" allowBlank="1" showInputMessage="1" showErrorMessage="1" xr:uid="{7007E345-CFC6-412E-8979-1460C75C9CB4}">
          <x14:formula1>
            <xm:f>AVES!$H$1:$DF$1</xm:f>
          </x14:formula1>
          <xm:sqref>D12:D13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2176-CC0D-4346-8412-292A2AC3C062}">
  <sheetPr>
    <pageSetUpPr fitToPage="1"/>
  </sheetPr>
  <dimension ref="A1:U45"/>
  <sheetViews>
    <sheetView tabSelected="1" zoomScale="55" zoomScaleNormal="55" workbookViewId="0">
      <selection activeCell="C3" sqref="C3:E3"/>
    </sheetView>
  </sheetViews>
  <sheetFormatPr defaultRowHeight="15" x14ac:dyDescent="0.25"/>
  <cols>
    <col min="1" max="1" width="3" style="27" bestFit="1" customWidth="1"/>
    <col min="2" max="2" width="7.42578125" style="27" bestFit="1" customWidth="1"/>
    <col min="3" max="3" width="8.140625" style="27" customWidth="1"/>
    <col min="4" max="4" width="9.140625" style="27"/>
    <col min="5" max="5" width="10.5703125" style="27" customWidth="1"/>
    <col min="6" max="6" width="11.140625" style="27" bestFit="1" customWidth="1"/>
    <col min="7" max="7" width="9.140625" style="27"/>
    <col min="8" max="8" width="3" style="27" bestFit="1" customWidth="1"/>
    <col min="9" max="10" width="9.140625" style="27"/>
    <col min="11" max="11" width="11.140625" style="27" bestFit="1" customWidth="1"/>
    <col min="12" max="14" width="9.140625" style="27"/>
    <col min="15" max="15" width="4" style="27" bestFit="1" customWidth="1"/>
    <col min="16" max="16384" width="9.140625" style="27"/>
  </cols>
  <sheetData>
    <row r="1" spans="1:21" ht="6.75" customHeight="1" x14ac:dyDescent="0.25"/>
    <row r="3" spans="1:21" x14ac:dyDescent="0.25">
      <c r="B3" s="31" t="s">
        <v>838</v>
      </c>
      <c r="C3" s="108" t="s">
        <v>877</v>
      </c>
      <c r="D3" s="108"/>
      <c r="E3" s="108"/>
    </row>
    <row r="4" spans="1:21" x14ac:dyDescent="0.25">
      <c r="B4" s="106" t="s">
        <v>839</v>
      </c>
      <c r="C4" s="106"/>
      <c r="D4" s="109" t="s">
        <v>878</v>
      </c>
      <c r="E4" s="109"/>
    </row>
    <row r="5" spans="1:21" x14ac:dyDescent="0.25">
      <c r="B5" s="105" t="s">
        <v>840</v>
      </c>
      <c r="C5" s="105"/>
      <c r="D5" s="110">
        <v>44454</v>
      </c>
      <c r="E5" s="110"/>
    </row>
    <row r="6" spans="1:21" x14ac:dyDescent="0.25">
      <c r="B6" s="112" t="s">
        <v>2</v>
      </c>
      <c r="C6" s="112"/>
      <c r="D6" s="113" t="s">
        <v>522</v>
      </c>
      <c r="E6" s="113"/>
    </row>
    <row r="7" spans="1:21" s="33" customFormat="1" ht="14.25" hidden="1" customHeight="1" x14ac:dyDescent="0.25">
      <c r="B7" s="107" t="s">
        <v>2</v>
      </c>
      <c r="C7" s="107"/>
      <c r="D7" s="34" t="str">
        <f>AVES!C7</f>
        <v>NICK CHICK (H&amp;N Branca)</v>
      </c>
      <c r="E7" s="35" t="str">
        <f>' OVOS'!C7</f>
        <v>OVOS NICK CHICK (H&amp;N Branca)</v>
      </c>
    </row>
    <row r="8" spans="1:21" x14ac:dyDescent="0.25">
      <c r="B8" s="106" t="s">
        <v>841</v>
      </c>
      <c r="C8" s="106"/>
      <c r="D8" s="111">
        <v>50000</v>
      </c>
      <c r="E8" s="111"/>
    </row>
    <row r="9" spans="1:21" x14ac:dyDescent="0.25">
      <c r="B9" s="32"/>
      <c r="C9" s="32"/>
      <c r="D9" s="28"/>
      <c r="E9" s="28"/>
    </row>
    <row r="10" spans="1:21" x14ac:dyDescent="0.25">
      <c r="A10" s="36"/>
      <c r="B10" s="37" t="s">
        <v>842</v>
      </c>
      <c r="C10" s="36" t="s">
        <v>843</v>
      </c>
      <c r="D10" s="36" t="s">
        <v>844</v>
      </c>
      <c r="E10" s="36" t="s">
        <v>845</v>
      </c>
      <c r="F10" s="36" t="s">
        <v>846</v>
      </c>
      <c r="G10" s="38" t="s">
        <v>847</v>
      </c>
      <c r="H10" s="36"/>
      <c r="I10" s="37" t="s">
        <v>842</v>
      </c>
      <c r="J10" s="36" t="s">
        <v>843</v>
      </c>
      <c r="K10" s="36" t="s">
        <v>844</v>
      </c>
      <c r="L10" s="36" t="s">
        <v>845</v>
      </c>
      <c r="M10" s="46" t="s">
        <v>846</v>
      </c>
      <c r="N10" s="38" t="s">
        <v>847</v>
      </c>
      <c r="O10" s="36"/>
      <c r="P10" s="37" t="s">
        <v>842</v>
      </c>
      <c r="Q10" s="36" t="s">
        <v>843</v>
      </c>
      <c r="R10" s="36" t="s">
        <v>844</v>
      </c>
      <c r="S10" s="36" t="s">
        <v>845</v>
      </c>
      <c r="T10" s="36" t="s">
        <v>846</v>
      </c>
      <c r="U10" s="36" t="s">
        <v>847</v>
      </c>
    </row>
    <row r="11" spans="1:21" x14ac:dyDescent="0.25">
      <c r="A11" s="36" t="s">
        <v>848</v>
      </c>
      <c r="B11" s="49" t="str">
        <f>IFERROR(AVERAGE(Tabela2[Matriz A]),"")</f>
        <v/>
      </c>
      <c r="C11" s="30">
        <f>VLOOKUP(A11,'Base de dados'!$A$1:$F$104,MATCH($D$7,'Base de dados'!$A$1:$F$1,0),)</f>
        <v>35</v>
      </c>
      <c r="D11" s="50" t="str">
        <f>IFERROR((COUNT(Tabela2[Matriz A])-SUM(AVES!H$7:H$8))/COUNT(Tabela2[Matriz A]),"")</f>
        <v/>
      </c>
      <c r="E11" s="30" t="s">
        <v>851</v>
      </c>
      <c r="F11" s="30" t="s">
        <v>851</v>
      </c>
      <c r="G11" s="30" t="s">
        <v>851</v>
      </c>
      <c r="H11" s="36">
        <v>33</v>
      </c>
      <c r="I11" s="49" t="str">
        <f>IFERROR(AVERAGE(Tabela2[33]),"")</f>
        <v/>
      </c>
      <c r="J11" s="30">
        <f>VLOOKUP(H11,'Base de dados'!$A$1:$F$104,MATCH($D$7,'Base de dados'!$A$1:$F$1,0),)</f>
        <v>1606</v>
      </c>
      <c r="K11" s="50" t="str">
        <f>IFERROR((COUNT(Tabela2[33])-SUM(AVES!AQ$7:AQ$8))/COUNT(Tabela2[33]),"")</f>
        <v/>
      </c>
      <c r="L11" s="56" t="str">
        <f>IFERROR(AVERAGE(Tabela22[Sem 33]),"")</f>
        <v/>
      </c>
      <c r="M11" s="30">
        <f>VLOOKUP(H11,'Base de dados'!$A$1:$J$104,MATCH($E$7,'Base de dados'!$A$1:$J$1,0),0)</f>
        <v>59.5</v>
      </c>
      <c r="N11" s="30" t="str" cm="1">
        <f t="array" ref="N11">_xlfn.IFS(L11="","",L11&lt;='Base de dados'!$K$2,'Base de dados'!$K$1,L11&lt;='Base de dados'!$L$3,'Base de dados'!$L$1,L11&lt;='Base de dados'!$M$3,'Base de dados'!$M$1,L11&gt;='Base de dados'!$N$2,'Base de dados'!$N$1)</f>
        <v/>
      </c>
      <c r="O11" s="36">
        <v>68</v>
      </c>
      <c r="P11" s="49" t="str">
        <f>IFERROR(AVERAGE(Tabela2[68]),"")</f>
        <v/>
      </c>
      <c r="Q11" s="30">
        <f>VLOOKUP(O11,'Base de dados'!$A$1:$F$104,MATCH($D$7,'Base de dados'!$A$1:$F$1,0),)</f>
        <v>1682</v>
      </c>
      <c r="R11" s="50" t="str">
        <f>IFERROR((COUNT(Tabela2[68])-SUM(AVES!BZ$7:BZ$8))/COUNT(Tabela2[68]),"")</f>
        <v/>
      </c>
      <c r="S11" s="56" t="str">
        <f>IFERROR(AVERAGE(Tabela22[Sem 68]),"")</f>
        <v/>
      </c>
      <c r="T11" s="30">
        <f>VLOOKUP(O11,'Base de dados'!$A$1:$J$104,MATCH($E$7,'Base de dados'!$A$1:$J$1,0),0)</f>
        <v>63.7</v>
      </c>
      <c r="U11" s="30" t="str" cm="1">
        <f t="array" ref="U11">_xlfn.IFS(S11="","",S11&lt;='Base de dados'!$K$2,'Base de dados'!$K$1,S11&lt;='Base de dados'!$L$3,'Base de dados'!$L$1,S11&lt;='Base de dados'!$M$3,'Base de dados'!$M$1,S11&gt;='Base de dados'!$N$2,'Base de dados'!$N$1)</f>
        <v/>
      </c>
    </row>
    <row r="12" spans="1:21" x14ac:dyDescent="0.25">
      <c r="A12" s="36" t="s">
        <v>849</v>
      </c>
      <c r="B12" s="51" t="str">
        <f>IFERROR(AVERAGE(Tabela2[Matriz B]),"")</f>
        <v/>
      </c>
      <c r="C12" s="29">
        <f>VLOOKUP(A12,'Base de dados'!$A$1:$F$104,MATCH($D$7,'Base de dados'!$A$1:$F$1,0),)</f>
        <v>35</v>
      </c>
      <c r="D12" s="52" t="str">
        <f>IFERROR((COUNT(Tabela2[Matriz B])-SUM(AVES!I$7:I$8))/COUNT(Tabela2[Matriz B]),"")</f>
        <v/>
      </c>
      <c r="E12" s="29" t="s">
        <v>851</v>
      </c>
      <c r="F12" s="29" t="s">
        <v>851</v>
      </c>
      <c r="G12" s="29" t="s">
        <v>851</v>
      </c>
      <c r="H12" s="36">
        <v>34</v>
      </c>
      <c r="I12" s="51" t="str">
        <f>IFERROR(AVERAGE(Tabela2[34]),"")</f>
        <v/>
      </c>
      <c r="J12" s="29">
        <f>VLOOKUP(H12,'Base de dados'!$A$1:$F$104,MATCH($D$7,'Base de dados'!$A$1:$F$1,0),)</f>
        <v>1609</v>
      </c>
      <c r="K12" s="52" t="str">
        <f>IFERROR((COUNT(Tabela2[34])-SUM(AVES!AR$7:AR$8))/COUNT(Tabela2[34]),"")</f>
        <v/>
      </c>
      <c r="L12" s="57" t="str">
        <f>IFERROR(AVERAGE(Tabela22[Sem 34]),"")</f>
        <v/>
      </c>
      <c r="M12" s="29">
        <f>VLOOKUP(H12,'Base de dados'!$A$1:$J$104,MATCH($E$7,'Base de dados'!$A$1:$J$1,0),0)</f>
        <v>59.8</v>
      </c>
      <c r="N12" s="29" t="str" cm="1">
        <f t="array" ref="N12">_xlfn.IFS(L12="","",L12&lt;='Base de dados'!$K$2,'Base de dados'!$K$1,L12&lt;='Base de dados'!$L$3,'Base de dados'!$L$1,L12&lt;='Base de dados'!$M$3,'Base de dados'!$M$1,L12&gt;='Base de dados'!$N$2,'Base de dados'!$N$1)</f>
        <v/>
      </c>
      <c r="O12" s="36">
        <v>69</v>
      </c>
      <c r="P12" s="51" t="str">
        <f>IFERROR(AVERAGE(Tabela2[69]),"")</f>
        <v/>
      </c>
      <c r="Q12" s="29">
        <f>VLOOKUP(O12,'Base de dados'!$A$1:$F$104,MATCH($D$7,'Base de dados'!$A$1:$F$1,0),)</f>
        <v>1684</v>
      </c>
      <c r="R12" s="52" t="str">
        <f>IFERROR((COUNT(Tabela2[69])-SUM(AVES!CA$7:CA$8))/COUNT(Tabela2[69]),"")</f>
        <v/>
      </c>
      <c r="S12" s="57" t="str">
        <f>IFERROR(AVERAGE(Tabela22[Sem 69]),"")</f>
        <v/>
      </c>
      <c r="T12" s="29">
        <f>VLOOKUP(O12,'Base de dados'!$A$1:$J$104,MATCH($E$7,'Base de dados'!$A$1:$J$1,0),0)</f>
        <v>63.8</v>
      </c>
      <c r="U12" s="29" t="str" cm="1">
        <f t="array" ref="U12">_xlfn.IFS(S12="","",S12&lt;='Base de dados'!$K$2,'Base de dados'!$K$1,S12&lt;='Base de dados'!$L$3,'Base de dados'!$L$1,S12&lt;='Base de dados'!$M$3,'Base de dados'!$M$1,S12&gt;='Base de dados'!$N$2,'Base de dados'!$N$1)</f>
        <v/>
      </c>
    </row>
    <row r="13" spans="1:21" x14ac:dyDescent="0.25">
      <c r="A13" s="36" t="s">
        <v>850</v>
      </c>
      <c r="B13" s="49" t="str">
        <f>IFERROR(AVERAGE(Tabela2[Matriz C]),"")</f>
        <v/>
      </c>
      <c r="C13" s="30">
        <f>VLOOKUP(A13,'Base de dados'!$A$1:$F$104,MATCH($D$7,'Base de dados'!$A$1:$F$1,0),)</f>
        <v>35</v>
      </c>
      <c r="D13" s="50" t="str">
        <f>IFERROR((COUNT(Tabela2[Matriz C])-SUM(AVES!J$7:J$8))/COUNT(Tabela2[Matriz C]),"")</f>
        <v/>
      </c>
      <c r="E13" s="30" t="s">
        <v>851</v>
      </c>
      <c r="F13" s="30" t="s">
        <v>851</v>
      </c>
      <c r="G13" s="30" t="s">
        <v>851</v>
      </c>
      <c r="H13" s="36">
        <v>35</v>
      </c>
      <c r="I13" s="49" t="str">
        <f>IFERROR(AVERAGE(Tabela2[35]),"")</f>
        <v/>
      </c>
      <c r="J13" s="30">
        <f>VLOOKUP(H13,'Base de dados'!$A$1:$F$104,MATCH($D$7,'Base de dados'!$A$1:$F$1,0),)</f>
        <v>1612</v>
      </c>
      <c r="K13" s="50" t="str">
        <f>IFERROR((COUNT(Tabela2[35])-SUM(AVES!AS$7:AS$8))/COUNT(Tabela2[35]),"")</f>
        <v/>
      </c>
      <c r="L13" s="56" t="str">
        <f>IFERROR(AVERAGE(Tabela22[Sem 35]),"")</f>
        <v/>
      </c>
      <c r="M13" s="30">
        <f>VLOOKUP(H13,'Base de dados'!$A$1:$J$104,MATCH($E$7,'Base de dados'!$A$1:$J$1,0),0)</f>
        <v>60</v>
      </c>
      <c r="N13" s="30" t="str" cm="1">
        <f t="array" ref="N13">_xlfn.IFS(L13="","",L13&lt;='Base de dados'!$K$2,'Base de dados'!$K$1,L13&lt;='Base de dados'!$L$3,'Base de dados'!$L$1,L13&lt;='Base de dados'!$M$3,'Base de dados'!$M$1,L13&gt;='Base de dados'!$N$2,'Base de dados'!$N$1)</f>
        <v/>
      </c>
      <c r="O13" s="36">
        <v>70</v>
      </c>
      <c r="P13" s="49" t="str">
        <f>IFERROR(AVERAGE(Tabela2[70]),"")</f>
        <v/>
      </c>
      <c r="Q13" s="30">
        <f>VLOOKUP(O13,'Base de dados'!$A$1:$F$104,MATCH($D$7,'Base de dados'!$A$1:$F$1,0),)</f>
        <v>1686</v>
      </c>
      <c r="R13" s="50" t="str">
        <f>IFERROR((COUNT(Tabela2[70])-SUM(AVES!CB$7:CB$8))/COUNT(Tabela2[70]),"")</f>
        <v/>
      </c>
      <c r="S13" s="56" t="str">
        <f>IFERROR(AVERAGE(Tabela22[Sem 70]),"")</f>
        <v/>
      </c>
      <c r="T13" s="30">
        <f>VLOOKUP(O13,'Base de dados'!$A$1:$J$104,MATCH($E$7,'Base de dados'!$A$1:$J$1,0),0)</f>
        <v>63.8</v>
      </c>
      <c r="U13" s="30" t="str" cm="1">
        <f t="array" ref="U13">_xlfn.IFS(S13="","",S13&lt;='Base de dados'!$K$2,'Base de dados'!$K$1,S13&lt;='Base de dados'!$L$3,'Base de dados'!$L$1,S13&lt;='Base de dados'!$M$3,'Base de dados'!$M$1,S13&gt;='Base de dados'!$N$2,'Base de dados'!$N$1)</f>
        <v/>
      </c>
    </row>
    <row r="14" spans="1:21" x14ac:dyDescent="0.25">
      <c r="A14" s="36">
        <v>1</v>
      </c>
      <c r="B14" s="51" t="str">
        <f>IFERROR(AVERAGE(Tabela2[1]),"")</f>
        <v/>
      </c>
      <c r="C14" s="29">
        <f>VLOOKUP(A14,'Base de dados'!$A$1:$F$104,MATCH($D$7,'Base de dados'!$A$1:$F$1,0),)</f>
        <v>65</v>
      </c>
      <c r="D14" s="52" t="str">
        <f>IFERROR((COUNT(Tabela2[1])-SUM(AVES!K$7:K$8))/COUNT(Tabela2[1]),"")</f>
        <v/>
      </c>
      <c r="E14" s="29" t="s">
        <v>851</v>
      </c>
      <c r="F14" s="29" t="s">
        <v>851</v>
      </c>
      <c r="G14" s="29" t="s">
        <v>851</v>
      </c>
      <c r="H14" s="36">
        <v>36</v>
      </c>
      <c r="I14" s="51" t="str">
        <f>IFERROR(AVERAGE(Tabela2[36]),"")</f>
        <v/>
      </c>
      <c r="J14" s="29">
        <f>VLOOKUP(H14,'Base de dados'!$A$1:$F$104,MATCH($D$7,'Base de dados'!$A$1:$F$1,0),)</f>
        <v>1615</v>
      </c>
      <c r="K14" s="52" t="str">
        <f>IFERROR((COUNT(Tabela2[36])-SUM(AVES!AT$7:AT$8))/COUNT(Tabela2[36]),"")</f>
        <v/>
      </c>
      <c r="L14" s="57" t="str">
        <f>IFERROR(AVERAGE(Tabela22[Sem 36]),"")</f>
        <v/>
      </c>
      <c r="M14" s="29">
        <f>VLOOKUP(H14,'Base de dados'!$A$1:$J$104,MATCH($E$7,'Base de dados'!$A$1:$J$1,0),0)</f>
        <v>60.3</v>
      </c>
      <c r="N14" s="29" t="str" cm="1">
        <f t="array" ref="N14">_xlfn.IFS(L14="","",L14&lt;='Base de dados'!$K$2,'Base de dados'!$K$1,L14&lt;='Base de dados'!$L$3,'Base de dados'!$L$1,L14&lt;='Base de dados'!$M$3,'Base de dados'!$M$1,L14&gt;='Base de dados'!$N$2,'Base de dados'!$N$1)</f>
        <v/>
      </c>
      <c r="O14" s="36">
        <v>71</v>
      </c>
      <c r="P14" s="51" t="str">
        <f>IFERROR(AVERAGE(Tabela2[71]),"")</f>
        <v/>
      </c>
      <c r="Q14" s="29">
        <f>VLOOKUP(O14,'Base de dados'!$A$1:$F$104,MATCH($D$7,'Base de dados'!$A$1:$F$1,0),)</f>
        <v>1688</v>
      </c>
      <c r="R14" s="52" t="str">
        <f>IFERROR((COUNT(Tabela2[71])-SUM(AVES!CC$7:CC$8))/COUNT(Tabela2[71]),"")</f>
        <v/>
      </c>
      <c r="S14" s="57" t="str">
        <f>IFERROR(AVERAGE(Tabela22[Sem 71]),"")</f>
        <v/>
      </c>
      <c r="T14" s="29">
        <f>VLOOKUP(O14,'Base de dados'!$A$1:$J$104,MATCH($E$7,'Base de dados'!$A$1:$J$1,0),0)</f>
        <v>63.9</v>
      </c>
      <c r="U14" s="29" t="str" cm="1">
        <f t="array" ref="U14">_xlfn.IFS(S14="","",S14&lt;='Base de dados'!$K$2,'Base de dados'!$K$1,S14&lt;='Base de dados'!$L$3,'Base de dados'!$L$1,S14&lt;='Base de dados'!$M$3,'Base de dados'!$M$1,S14&gt;='Base de dados'!$N$2,'Base de dados'!$N$1)</f>
        <v/>
      </c>
    </row>
    <row r="15" spans="1:21" x14ac:dyDescent="0.25">
      <c r="A15" s="36">
        <v>2</v>
      </c>
      <c r="B15" s="49" t="str">
        <f>IFERROR(AVERAGE(Tabela2[2]),"")</f>
        <v/>
      </c>
      <c r="C15" s="30">
        <f>VLOOKUP(A15,'Base de dados'!$A$1:$F$104,MATCH($D$7,'Base de dados'!$A$1:$F$1,0),)</f>
        <v>116</v>
      </c>
      <c r="D15" s="50" t="str">
        <f>IFERROR((COUNT(Tabela2[2])-SUM(AVES!L$7:L$8))/COUNT(Tabela2[2]),"")</f>
        <v/>
      </c>
      <c r="E15" s="30" t="s">
        <v>851</v>
      </c>
      <c r="F15" s="30" t="s">
        <v>851</v>
      </c>
      <c r="G15" s="30" t="s">
        <v>851</v>
      </c>
      <c r="H15" s="36">
        <v>37</v>
      </c>
      <c r="I15" s="49" t="str">
        <f>IFERROR(AVERAGE(Tabela2[37]),"")</f>
        <v/>
      </c>
      <c r="J15" s="30">
        <f>VLOOKUP(H15,'Base de dados'!$A$1:$F$104,MATCH($D$7,'Base de dados'!$A$1:$F$1,0),)</f>
        <v>1618</v>
      </c>
      <c r="K15" s="50" t="str">
        <f>IFERROR((COUNT(Tabela2[37])-SUM(AVES!AU$7:AU$8))/COUNT(Tabela2[37]),"")</f>
        <v/>
      </c>
      <c r="L15" s="56" t="str">
        <f>IFERROR(AVERAGE(Tabela22[Sem 37]),"")</f>
        <v/>
      </c>
      <c r="M15" s="30">
        <f>VLOOKUP(H15,'Base de dados'!$A$1:$J$104,MATCH($E$7,'Base de dados'!$A$1:$J$1,0),0)</f>
        <v>60.4</v>
      </c>
      <c r="N15" s="30" t="str" cm="1">
        <f t="array" ref="N15">_xlfn.IFS(L15="","",L15&lt;='Base de dados'!$K$2,'Base de dados'!$K$1,L15&lt;='Base de dados'!$L$3,'Base de dados'!$L$1,L15&lt;='Base de dados'!$M$3,'Base de dados'!$M$1,L15&gt;='Base de dados'!$N$2,'Base de dados'!$N$1)</f>
        <v/>
      </c>
      <c r="O15" s="36">
        <v>72</v>
      </c>
      <c r="P15" s="49" t="str">
        <f>IFERROR(AVERAGE(Tabela2[72]),"")</f>
        <v/>
      </c>
      <c r="Q15" s="30">
        <f>VLOOKUP(O15,'Base de dados'!$A$1:$F$104,MATCH($D$7,'Base de dados'!$A$1:$F$1,0),)</f>
        <v>1690</v>
      </c>
      <c r="R15" s="50" t="str">
        <f>IFERROR((COUNT(Tabela2[72])-SUM(AVES!CD$7:CD$8))/COUNT(Tabela2[72]),"")</f>
        <v/>
      </c>
      <c r="S15" s="56" t="str">
        <f>IFERROR(AVERAGE(Tabela22[Sem 72]),"")</f>
        <v/>
      </c>
      <c r="T15" s="30">
        <f>VLOOKUP(O15,'Base de dados'!$A$1:$J$104,MATCH($E$7,'Base de dados'!$A$1:$J$1,0),0)</f>
        <v>63.9</v>
      </c>
      <c r="U15" s="30" t="str" cm="1">
        <f t="array" ref="U15">_xlfn.IFS(S15="","",S15&lt;='Base de dados'!$K$2,'Base de dados'!$K$1,S15&lt;='Base de dados'!$L$3,'Base de dados'!$L$1,S15&lt;='Base de dados'!$M$3,'Base de dados'!$M$1,S15&gt;='Base de dados'!$N$2,'Base de dados'!$N$1)</f>
        <v/>
      </c>
    </row>
    <row r="16" spans="1:21" x14ac:dyDescent="0.25">
      <c r="A16" s="36">
        <v>3</v>
      </c>
      <c r="B16" s="51" t="str">
        <f>IFERROR(AVERAGE(Tabela2[3]),"")</f>
        <v/>
      </c>
      <c r="C16" s="29">
        <f>VLOOKUP(A16,'Base de dados'!$A$1:$F$104,MATCH($D$7,'Base de dados'!$A$1:$F$1,0),)</f>
        <v>175</v>
      </c>
      <c r="D16" s="52" t="str">
        <f>IFERROR((COUNT(Tabela2[3])-SUM(AVES!M$7:M$8))/COUNT(Tabela2[3]),"")</f>
        <v/>
      </c>
      <c r="E16" s="29" t="s">
        <v>851</v>
      </c>
      <c r="F16" s="29" t="s">
        <v>851</v>
      </c>
      <c r="G16" s="29" t="s">
        <v>851</v>
      </c>
      <c r="H16" s="36">
        <v>38</v>
      </c>
      <c r="I16" s="51" t="str">
        <f>IFERROR(AVERAGE(Tabela2[38]),"")</f>
        <v/>
      </c>
      <c r="J16" s="29">
        <f>VLOOKUP(H16,'Base de dados'!$A$1:$F$104,MATCH($D$7,'Base de dados'!$A$1:$F$1,0),)</f>
        <v>1621</v>
      </c>
      <c r="K16" s="52" t="str">
        <f>IFERROR((COUNT(Tabela2[38])-SUM(AVES!AV$7:AV$8))/COUNT(Tabela2[38]),"")</f>
        <v/>
      </c>
      <c r="L16" s="57" t="str">
        <f>IFERROR(AVERAGE(Tabela22[Sem 38]),"")</f>
        <v/>
      </c>
      <c r="M16" s="29">
        <f>VLOOKUP(H16,'Base de dados'!$A$1:$J$104,MATCH($E$7,'Base de dados'!$A$1:$J$1,0),0)</f>
        <v>60.6</v>
      </c>
      <c r="N16" s="29" t="str" cm="1">
        <f t="array" ref="N16">_xlfn.IFS(L16="","",L16&lt;='Base de dados'!$K$2,'Base de dados'!$K$1,L16&lt;='Base de dados'!$L$3,'Base de dados'!$L$1,L16&lt;='Base de dados'!$M$3,'Base de dados'!$M$1,L16&gt;='Base de dados'!$N$2,'Base de dados'!$N$1)</f>
        <v/>
      </c>
      <c r="O16" s="36">
        <v>73</v>
      </c>
      <c r="P16" s="51" t="str">
        <f>IFERROR(AVERAGE(Tabela2[73]),"")</f>
        <v/>
      </c>
      <c r="Q16" s="29">
        <f>VLOOKUP(O16,'Base de dados'!$A$1:$F$104,MATCH($D$7,'Base de dados'!$A$1:$F$1,0),)</f>
        <v>1692</v>
      </c>
      <c r="R16" s="52" t="str">
        <f>IFERROR((COUNT(Tabela2[73])-SUM(AVES!CE$7:CE$8))/COUNT(Tabela2[73]),"")</f>
        <v/>
      </c>
      <c r="S16" s="57" t="str">
        <f>IFERROR(AVERAGE(Tabela22[Sem 73]),"")</f>
        <v/>
      </c>
      <c r="T16" s="29">
        <f>VLOOKUP(O16,'Base de dados'!$A$1:$J$104,MATCH($E$7,'Base de dados'!$A$1:$J$1,0),0)</f>
        <v>63.9</v>
      </c>
      <c r="U16" s="29" t="str" cm="1">
        <f t="array" ref="U16">_xlfn.IFS(S16="","",S16&lt;='Base de dados'!$K$2,'Base de dados'!$K$1,S16&lt;='Base de dados'!$L$3,'Base de dados'!$L$1,S16&lt;='Base de dados'!$M$3,'Base de dados'!$M$1,S16&gt;='Base de dados'!$N$2,'Base de dados'!$N$1)</f>
        <v/>
      </c>
    </row>
    <row r="17" spans="1:21" x14ac:dyDescent="0.25">
      <c r="A17" s="36">
        <v>4</v>
      </c>
      <c r="B17" s="49" t="str">
        <f>IFERROR(AVERAGE(Tabela2[4]),"")</f>
        <v/>
      </c>
      <c r="C17" s="30">
        <f>VLOOKUP(A17,'Base de dados'!$A$1:$F$104,MATCH($D$7,'Base de dados'!$A$1:$F$1,0),)</f>
        <v>245</v>
      </c>
      <c r="D17" s="50" t="str">
        <f>IFERROR((COUNT(Tabela2[4])-SUM(AVES!N$7:N$8))/COUNT(Tabela2[4]),"")</f>
        <v/>
      </c>
      <c r="E17" s="30" t="s">
        <v>851</v>
      </c>
      <c r="F17" s="30" t="s">
        <v>851</v>
      </c>
      <c r="G17" s="30" t="s">
        <v>851</v>
      </c>
      <c r="H17" s="36">
        <v>39</v>
      </c>
      <c r="I17" s="49" t="str">
        <f>IFERROR(AVERAGE(Tabela2[39]),"")</f>
        <v/>
      </c>
      <c r="J17" s="30">
        <f>VLOOKUP(H17,'Base de dados'!$A$1:$F$104,MATCH($D$7,'Base de dados'!$A$1:$F$1,0),)</f>
        <v>1624</v>
      </c>
      <c r="K17" s="50" t="str">
        <f>IFERROR((COUNT(Tabela2[39])-SUM(AVES!AW$7:AW$8))/COUNT(Tabela2[39]),"")</f>
        <v/>
      </c>
      <c r="L17" s="56" t="str">
        <f>IFERROR(AVERAGE(Tabela22[Sem 39]),"")</f>
        <v/>
      </c>
      <c r="M17" s="30">
        <f>VLOOKUP(H17,'Base de dados'!$A$1:$J$104,MATCH($E$7,'Base de dados'!$A$1:$J$1,0),0)</f>
        <v>60.8</v>
      </c>
      <c r="N17" s="30" t="str" cm="1">
        <f t="array" ref="N17">_xlfn.IFS(L17="","",L17&lt;='Base de dados'!$K$2,'Base de dados'!$K$1,L17&lt;='Base de dados'!$L$3,'Base de dados'!$L$1,L17&lt;='Base de dados'!$M$3,'Base de dados'!$M$1,L17&gt;='Base de dados'!$N$2,'Base de dados'!$N$1)</f>
        <v/>
      </c>
      <c r="O17" s="36">
        <v>74</v>
      </c>
      <c r="P17" s="49" t="str">
        <f>IFERROR(AVERAGE(Tabela2[74]),"")</f>
        <v/>
      </c>
      <c r="Q17" s="30">
        <f>VLOOKUP(O17,'Base de dados'!$A$1:$F$104,MATCH($D$7,'Base de dados'!$A$1:$F$1,0),)</f>
        <v>1694</v>
      </c>
      <c r="R17" s="50" t="str">
        <f>IFERROR((COUNT(Tabela2[74])-SUM(AVES!CF$7:CF$8))/COUNT(Tabela2[74]),"")</f>
        <v/>
      </c>
      <c r="S17" s="56" t="str">
        <f>IFERROR(AVERAGE(Tabela22[Sem 74]),"")</f>
        <v/>
      </c>
      <c r="T17" s="30">
        <f>VLOOKUP(O17,'Base de dados'!$A$1:$J$104,MATCH($E$7,'Base de dados'!$A$1:$J$1,0),0)</f>
        <v>64</v>
      </c>
      <c r="U17" s="30" t="str" cm="1">
        <f t="array" ref="U17">_xlfn.IFS(S17="","",S17&lt;='Base de dados'!$K$2,'Base de dados'!$K$1,S17&lt;='Base de dados'!$L$3,'Base de dados'!$L$1,S17&lt;='Base de dados'!$M$3,'Base de dados'!$M$1,S17&gt;='Base de dados'!$N$2,'Base de dados'!$N$1)</f>
        <v/>
      </c>
    </row>
    <row r="18" spans="1:21" x14ac:dyDescent="0.25">
      <c r="A18" s="36">
        <v>5</v>
      </c>
      <c r="B18" s="51" t="str">
        <f>IFERROR(AVERAGE(Tabela2[5]),"")</f>
        <v/>
      </c>
      <c r="C18" s="29">
        <f>VLOOKUP(A18,'Base de dados'!$A$1:$F$104,MATCH($D$7,'Base de dados'!$A$1:$F$1,0),)</f>
        <v>325</v>
      </c>
      <c r="D18" s="52" t="str">
        <f>IFERROR((COUNT(Tabela2[5])-SUM(AVES!O$7:O$8))/COUNT(Tabela2[5]),"")</f>
        <v/>
      </c>
      <c r="E18" s="29" t="s">
        <v>851</v>
      </c>
      <c r="F18" s="29" t="s">
        <v>851</v>
      </c>
      <c r="G18" s="29" t="s">
        <v>851</v>
      </c>
      <c r="H18" s="36">
        <v>40</v>
      </c>
      <c r="I18" s="51" t="str">
        <f>IFERROR(AVERAGE(Tabela2[40]),"")</f>
        <v/>
      </c>
      <c r="J18" s="29">
        <f>VLOOKUP(H18,'Base de dados'!$A$1:$F$104,MATCH($D$7,'Base de dados'!$A$1:$F$1,0),)</f>
        <v>1626</v>
      </c>
      <c r="K18" s="52" t="str">
        <f>IFERROR((COUNT(Tabela2[40])-SUM(AVES!AX$7:AX$8))/COUNT(Tabela2[40]),"")</f>
        <v/>
      </c>
      <c r="L18" s="57" t="str">
        <f>IFERROR(AVERAGE(Tabela22[Sem 40]),"")</f>
        <v/>
      </c>
      <c r="M18" s="29">
        <f>VLOOKUP(H18,'Base de dados'!$A$1:$J$104,MATCH($E$7,'Base de dados'!$A$1:$J$1,0),0)</f>
        <v>60.9</v>
      </c>
      <c r="N18" s="29" t="str" cm="1">
        <f t="array" ref="N18">_xlfn.IFS(L18="","",L18&lt;='Base de dados'!$K$2,'Base de dados'!$K$1,L18&lt;='Base de dados'!$L$3,'Base de dados'!$L$1,L18&lt;='Base de dados'!$M$3,'Base de dados'!$M$1,L18&gt;='Base de dados'!$N$2,'Base de dados'!$N$1)</f>
        <v/>
      </c>
      <c r="O18" s="36">
        <v>75</v>
      </c>
      <c r="P18" s="51" t="str">
        <f>IFERROR(AVERAGE(Tabela2[75]),"")</f>
        <v/>
      </c>
      <c r="Q18" s="29">
        <f>VLOOKUP(O18,'Base de dados'!$A$1:$F$104,MATCH($D$7,'Base de dados'!$A$1:$F$1,0),)</f>
        <v>1696</v>
      </c>
      <c r="R18" s="52" t="str">
        <f>IFERROR((COUNT(Tabela2[75])-SUM(AVES!CG$7:CG$8))/COUNT(Tabela2[75]),"")</f>
        <v/>
      </c>
      <c r="S18" s="57" t="str">
        <f>IFERROR(AVERAGE(Tabela22[Sem 75]),"")</f>
        <v/>
      </c>
      <c r="T18" s="29">
        <f>VLOOKUP(O18,'Base de dados'!$A$1:$J$104,MATCH($E$7,'Base de dados'!$A$1:$J$1,0),0)</f>
        <v>64</v>
      </c>
      <c r="U18" s="29" t="str" cm="1">
        <f t="array" ref="U18">_xlfn.IFS(S18="","",S18&lt;='Base de dados'!$K$2,'Base de dados'!$K$1,S18&lt;='Base de dados'!$L$3,'Base de dados'!$L$1,S18&lt;='Base de dados'!$M$3,'Base de dados'!$M$1,S18&gt;='Base de dados'!$N$2,'Base de dados'!$N$1)</f>
        <v/>
      </c>
    </row>
    <row r="19" spans="1:21" x14ac:dyDescent="0.25">
      <c r="A19" s="36">
        <v>6</v>
      </c>
      <c r="B19" s="49" t="str">
        <f>IFERROR(AVERAGE(Tabela2[6]),"")</f>
        <v/>
      </c>
      <c r="C19" s="30">
        <f>VLOOKUP(A19,'Base de dados'!$A$1:$F$104,MATCH($D$7,'Base de dados'!$A$1:$F$1,0),)</f>
        <v>410</v>
      </c>
      <c r="D19" s="50" t="str">
        <f>IFERROR((COUNT(Tabela2[6])-SUM(AVES!P$7:P$8))/COUNT(Tabela2[6]),"")</f>
        <v/>
      </c>
      <c r="E19" s="30" t="s">
        <v>851</v>
      </c>
      <c r="F19" s="30" t="s">
        <v>851</v>
      </c>
      <c r="G19" s="30" t="s">
        <v>851</v>
      </c>
      <c r="H19" s="36">
        <v>41</v>
      </c>
      <c r="I19" s="49" t="str">
        <f>IFERROR(AVERAGE(Tabela2[41]),"")</f>
        <v/>
      </c>
      <c r="J19" s="30">
        <f>VLOOKUP(H19,'Base de dados'!$A$1:$F$104,MATCH($D$7,'Base de dados'!$A$1:$F$1,0),)</f>
        <v>1628</v>
      </c>
      <c r="K19" s="50" t="str">
        <f>IFERROR((COUNT(Tabela2[41])-SUM(AVES!AY$7:AY$8))/COUNT(Tabela2[41]),"")</f>
        <v/>
      </c>
      <c r="L19" s="56" t="str">
        <f>IFERROR(AVERAGE(Tabela22[Sem 41]),"")</f>
        <v/>
      </c>
      <c r="M19" s="30">
        <f>VLOOKUP(H19,'Base de dados'!$A$1:$J$104,MATCH($E$7,'Base de dados'!$A$1:$J$1,0),0)</f>
        <v>61.1</v>
      </c>
      <c r="N19" s="30" t="str" cm="1">
        <f t="array" ref="N19">_xlfn.IFS(L19="","",L19&lt;='Base de dados'!$K$2,'Base de dados'!$K$1,L19&lt;='Base de dados'!$L$3,'Base de dados'!$L$1,L19&lt;='Base de dados'!$M$3,'Base de dados'!$M$1,L19&gt;='Base de dados'!$N$2,'Base de dados'!$N$1)</f>
        <v/>
      </c>
      <c r="O19" s="36">
        <v>76</v>
      </c>
      <c r="P19" s="49" t="str">
        <f>IFERROR(AVERAGE(Tabela2[76]),"")</f>
        <v/>
      </c>
      <c r="Q19" s="30">
        <f>VLOOKUP(O19,'Base de dados'!$A$1:$F$104,MATCH($D$7,'Base de dados'!$A$1:$F$1,0),)</f>
        <v>1698</v>
      </c>
      <c r="R19" s="50" t="str">
        <f>IFERROR((COUNT(Tabela2[76])-SUM(AVES!CH$7:CH$8))/COUNT(Tabela2[76]),"")</f>
        <v/>
      </c>
      <c r="S19" s="56" t="str">
        <f>IFERROR(AVERAGE(Tabela22[Sem 76]),"")</f>
        <v/>
      </c>
      <c r="T19" s="30">
        <f>VLOOKUP(O19,'Base de dados'!$A$1:$J$104,MATCH($E$7,'Base de dados'!$A$1:$J$1,0),0)</f>
        <v>64</v>
      </c>
      <c r="U19" s="30" t="str" cm="1">
        <f t="array" ref="U19">_xlfn.IFS(S19="","",S19&lt;='Base de dados'!$K$2,'Base de dados'!$K$1,S19&lt;='Base de dados'!$L$3,'Base de dados'!$L$1,S19&lt;='Base de dados'!$M$3,'Base de dados'!$M$1,S19&gt;='Base de dados'!$N$2,'Base de dados'!$N$1)</f>
        <v/>
      </c>
    </row>
    <row r="20" spans="1:21" x14ac:dyDescent="0.25">
      <c r="A20" s="36">
        <v>7</v>
      </c>
      <c r="B20" s="51" t="str">
        <f>IFERROR(AVERAGE(Tabela2[7]),"")</f>
        <v/>
      </c>
      <c r="C20" s="29">
        <f>VLOOKUP(A20,'Base de dados'!$A$1:$F$104,MATCH($D$7,'Base de dados'!$A$1:$F$1,0),)</f>
        <v>496</v>
      </c>
      <c r="D20" s="52" t="str">
        <f>IFERROR((COUNT(Tabela2[7])-SUM(AVES!Q$7:Q$8))/COUNT(Tabela2[7]),"")</f>
        <v/>
      </c>
      <c r="E20" s="29" t="s">
        <v>851</v>
      </c>
      <c r="F20" s="29" t="s">
        <v>851</v>
      </c>
      <c r="G20" s="29" t="s">
        <v>851</v>
      </c>
      <c r="H20" s="36">
        <v>42</v>
      </c>
      <c r="I20" s="51" t="str">
        <f>IFERROR(AVERAGE(Tabela2[42]),"")</f>
        <v/>
      </c>
      <c r="J20" s="29">
        <f>VLOOKUP(H20,'Base de dados'!$A$1:$F$104,MATCH($D$7,'Base de dados'!$A$1:$F$1,0),)</f>
        <v>1630</v>
      </c>
      <c r="K20" s="52" t="str">
        <f>IFERROR((COUNT(Tabela2[42])-SUM(AVES!AZ$7:AZ$8))/COUNT(Tabela2[42]),"")</f>
        <v/>
      </c>
      <c r="L20" s="57" t="str">
        <f>IFERROR(AVERAGE(Tabela22[Sem 42]),"")</f>
        <v/>
      </c>
      <c r="M20" s="29">
        <f>VLOOKUP(H20,'Base de dados'!$A$1:$J$104,MATCH($E$7,'Base de dados'!$A$1:$J$1,0),0)</f>
        <v>61.2</v>
      </c>
      <c r="N20" s="29" t="str" cm="1">
        <f t="array" ref="N20">_xlfn.IFS(L20="","",L20&lt;='Base de dados'!$K$2,'Base de dados'!$K$1,L20&lt;='Base de dados'!$L$3,'Base de dados'!$L$1,L20&lt;='Base de dados'!$M$3,'Base de dados'!$M$1,L20&gt;='Base de dados'!$N$2,'Base de dados'!$N$1)</f>
        <v/>
      </c>
      <c r="O20" s="36">
        <v>77</v>
      </c>
      <c r="P20" s="51" t="str">
        <f>IFERROR(AVERAGE(Tabela2[77]),"")</f>
        <v/>
      </c>
      <c r="Q20" s="29">
        <f>VLOOKUP(O20,'Base de dados'!$A$1:$F$104,MATCH($D$7,'Base de dados'!$A$1:$F$1,0),)</f>
        <v>1700</v>
      </c>
      <c r="R20" s="52" t="str">
        <f>IFERROR((COUNT(Tabela2[77])-SUM(AVES!CI$7:CI$8))/COUNT(Tabela2[77]),"")</f>
        <v/>
      </c>
      <c r="S20" s="57" t="str">
        <f>IFERROR(AVERAGE(Tabela22[Sem 77]),"")</f>
        <v/>
      </c>
      <c r="T20" s="29">
        <f>VLOOKUP(O20,'Base de dados'!$A$1:$J$104,MATCH($E$7,'Base de dados'!$A$1:$J$1,0),0)</f>
        <v>64.099999999999994</v>
      </c>
      <c r="U20" s="29" t="str" cm="1">
        <f t="array" ref="U20">_xlfn.IFS(S20="","",S20&lt;='Base de dados'!$K$2,'Base de dados'!$K$1,S20&lt;='Base de dados'!$L$3,'Base de dados'!$L$1,S20&lt;='Base de dados'!$M$3,'Base de dados'!$M$1,S20&gt;='Base de dados'!$N$2,'Base de dados'!$N$1)</f>
        <v/>
      </c>
    </row>
    <row r="21" spans="1:21" x14ac:dyDescent="0.25">
      <c r="A21" s="36">
        <v>8</v>
      </c>
      <c r="B21" s="49" t="str">
        <f>IFERROR(AVERAGE(Tabela2[8]),"")</f>
        <v/>
      </c>
      <c r="C21" s="30">
        <f>VLOOKUP(A21,'Base de dados'!$A$1:$F$104,MATCH($D$7,'Base de dados'!$A$1:$F$1,0),)</f>
        <v>582</v>
      </c>
      <c r="D21" s="50" t="str">
        <f>IFERROR((COUNT(Tabela2[8])-SUM(AVES!R$7:R$8))/COUNT(Tabela2[8]),"")</f>
        <v/>
      </c>
      <c r="E21" s="30" t="s">
        <v>851</v>
      </c>
      <c r="F21" s="30" t="s">
        <v>851</v>
      </c>
      <c r="G21" s="30" t="s">
        <v>851</v>
      </c>
      <c r="H21" s="36">
        <v>43</v>
      </c>
      <c r="I21" s="49" t="str">
        <f>IFERROR(AVERAGE(Tabela2[43]),"")</f>
        <v/>
      </c>
      <c r="J21" s="30">
        <f>VLOOKUP(H21,'Base de dados'!$A$1:$F$104,MATCH($D$7,'Base de dados'!$A$1:$F$1,0),)</f>
        <v>1632</v>
      </c>
      <c r="K21" s="50" t="str">
        <f>IFERROR((COUNT(Tabela2[43])-SUM(AVES!BA$7:BA$8))/COUNT(Tabela2[43]),"")</f>
        <v/>
      </c>
      <c r="L21" s="56" t="str">
        <f>IFERROR(AVERAGE(Tabela22[Sem 43]),"")</f>
        <v/>
      </c>
      <c r="M21" s="30">
        <f>VLOOKUP(H21,'Base de dados'!$A$1:$J$104,MATCH($E$7,'Base de dados'!$A$1:$J$1,0),0)</f>
        <v>61.4</v>
      </c>
      <c r="N21" s="30" t="str" cm="1">
        <f t="array" ref="N21">_xlfn.IFS(L21="","",L21&lt;='Base de dados'!$K$2,'Base de dados'!$K$1,L21&lt;='Base de dados'!$L$3,'Base de dados'!$L$1,L21&lt;='Base de dados'!$M$3,'Base de dados'!$M$1,L21&gt;='Base de dados'!$N$2,'Base de dados'!$N$1)</f>
        <v/>
      </c>
      <c r="O21" s="36">
        <v>78</v>
      </c>
      <c r="P21" s="49" t="str">
        <f>IFERROR(AVERAGE(Tabela2[78]),"")</f>
        <v/>
      </c>
      <c r="Q21" s="30">
        <f>VLOOKUP(O21,'Base de dados'!$A$1:$F$104,MATCH($D$7,'Base de dados'!$A$1:$F$1,0),)</f>
        <v>1702</v>
      </c>
      <c r="R21" s="50" t="str">
        <f>IFERROR((COUNT(Tabela2[78])-SUM(AVES!CJ$7:CJ$8))/COUNT(Tabela2[78]),"")</f>
        <v/>
      </c>
      <c r="S21" s="56" t="str">
        <f>IFERROR(AVERAGE(Tabela22[Sem 78]),"")</f>
        <v/>
      </c>
      <c r="T21" s="30">
        <f>VLOOKUP(O21,'Base de dados'!$A$1:$J$104,MATCH($E$7,'Base de dados'!$A$1:$J$1,0),0)</f>
        <v>64.099999999999994</v>
      </c>
      <c r="U21" s="30" t="str" cm="1">
        <f t="array" ref="U21">_xlfn.IFS(S21="","",S21&lt;='Base de dados'!$K$2,'Base de dados'!$K$1,S21&lt;='Base de dados'!$L$3,'Base de dados'!$L$1,S21&lt;='Base de dados'!$M$3,'Base de dados'!$M$1,S21&gt;='Base de dados'!$N$2,'Base de dados'!$N$1)</f>
        <v/>
      </c>
    </row>
    <row r="22" spans="1:21" x14ac:dyDescent="0.25">
      <c r="A22" s="36">
        <v>9</v>
      </c>
      <c r="B22" s="51" t="str">
        <f>IFERROR(AVERAGE(Tabela2[9]),"")</f>
        <v/>
      </c>
      <c r="C22" s="29">
        <f>VLOOKUP(A22,'Base de dados'!$A$1:$F$104,MATCH($D$7,'Base de dados'!$A$1:$F$1,0),)</f>
        <v>665</v>
      </c>
      <c r="D22" s="52" t="str">
        <f>IFERROR((COUNT(Tabela2[9])-SUM(AVES!S$7:S$8))/COUNT(Tabela2[9]),"")</f>
        <v/>
      </c>
      <c r="E22" s="29" t="s">
        <v>851</v>
      </c>
      <c r="F22" s="29" t="s">
        <v>851</v>
      </c>
      <c r="G22" s="29" t="s">
        <v>851</v>
      </c>
      <c r="H22" s="36">
        <v>44</v>
      </c>
      <c r="I22" s="51" t="str">
        <f>IFERROR(AVERAGE(Tabela2[44]),"")</f>
        <v/>
      </c>
      <c r="J22" s="29">
        <f>VLOOKUP(H22,'Base de dados'!$A$1:$F$104,MATCH($D$7,'Base de dados'!$A$1:$F$1,0),)</f>
        <v>1634</v>
      </c>
      <c r="K22" s="52" t="str">
        <f>IFERROR((COUNT(Tabela2[44])-SUM(AVES!BB$7:BB$8))/COUNT(Tabela2[44]),"")</f>
        <v/>
      </c>
      <c r="L22" s="57" t="str">
        <f>IFERROR(AVERAGE(Tabela22[Sem 44]),"")</f>
        <v/>
      </c>
      <c r="M22" s="29">
        <f>VLOOKUP(H22,'Base de dados'!$A$1:$J$104,MATCH($E$7,'Base de dados'!$A$1:$J$1,0),0)</f>
        <v>61.5</v>
      </c>
      <c r="N22" s="29" t="str" cm="1">
        <f t="array" ref="N22">_xlfn.IFS(L22="","",L22&lt;='Base de dados'!$K$2,'Base de dados'!$K$1,L22&lt;='Base de dados'!$L$3,'Base de dados'!$L$1,L22&lt;='Base de dados'!$M$3,'Base de dados'!$M$1,L22&gt;='Base de dados'!$N$2,'Base de dados'!$N$1)</f>
        <v/>
      </c>
      <c r="O22" s="36">
        <v>79</v>
      </c>
      <c r="P22" s="51" t="str">
        <f>IFERROR(AVERAGE(Tabela2[79]),"")</f>
        <v/>
      </c>
      <c r="Q22" s="29">
        <f>VLOOKUP(O22,'Base de dados'!$A$1:$F$104,MATCH($D$7,'Base de dados'!$A$1:$F$1,0),)</f>
        <v>1704</v>
      </c>
      <c r="R22" s="52" t="str">
        <f>IFERROR((COUNT(Tabela2[79])-SUM(AVES!CK$7:CK$8))/COUNT(Tabela2[79]),"")</f>
        <v/>
      </c>
      <c r="S22" s="57" t="str">
        <f>IFERROR(AVERAGE(Tabela22[Sem 79]),"")</f>
        <v/>
      </c>
      <c r="T22" s="29">
        <f>VLOOKUP(O22,'Base de dados'!$A$1:$J$104,MATCH($E$7,'Base de dados'!$A$1:$J$1,0),0)</f>
        <v>64.099999999999994</v>
      </c>
      <c r="U22" s="29" t="str" cm="1">
        <f t="array" ref="U22">_xlfn.IFS(S22="","",S22&lt;='Base de dados'!$K$2,'Base de dados'!$K$1,S22&lt;='Base de dados'!$L$3,'Base de dados'!$L$1,S22&lt;='Base de dados'!$M$3,'Base de dados'!$M$1,S22&gt;='Base de dados'!$N$2,'Base de dados'!$N$1)</f>
        <v/>
      </c>
    </row>
    <row r="23" spans="1:21" x14ac:dyDescent="0.25">
      <c r="A23" s="36">
        <v>10</v>
      </c>
      <c r="B23" s="49" t="str">
        <f>IFERROR(AVERAGE(Tabela2[10]),"")</f>
        <v/>
      </c>
      <c r="C23" s="30">
        <f>VLOOKUP(A23,'Base de dados'!$A$1:$F$104,MATCH($D$7,'Base de dados'!$A$1:$F$1,0),)</f>
        <v>745</v>
      </c>
      <c r="D23" s="50" t="str">
        <f>IFERROR((COUNT(Tabela2[10])-SUM(AVES!T$7:T$8))/COUNT(Tabela2[10]),"")</f>
        <v/>
      </c>
      <c r="E23" s="30" t="s">
        <v>851</v>
      </c>
      <c r="F23" s="30" t="s">
        <v>851</v>
      </c>
      <c r="G23" s="30" t="s">
        <v>851</v>
      </c>
      <c r="H23" s="36">
        <v>45</v>
      </c>
      <c r="I23" s="49" t="str">
        <f>IFERROR(AVERAGE(Tabela2[45]),"")</f>
        <v/>
      </c>
      <c r="J23" s="30">
        <f>VLOOKUP(H23,'Base de dados'!$A$1:$F$104,MATCH($D$7,'Base de dados'!$A$1:$F$1,0),)</f>
        <v>1636</v>
      </c>
      <c r="K23" s="50" t="str">
        <f>IFERROR((COUNT(Tabela2[45])-SUM(AVES!BC$7:BC$8))/COUNT(Tabela2[45]),"")</f>
        <v/>
      </c>
      <c r="L23" s="56" t="str">
        <f>IFERROR(AVERAGE(Tabela22[Sem 45]),"")</f>
        <v/>
      </c>
      <c r="M23" s="30">
        <f>VLOOKUP(H23,'Base de dados'!$A$1:$J$104,MATCH($E$7,'Base de dados'!$A$1:$J$1,0),0)</f>
        <v>61.6</v>
      </c>
      <c r="N23" s="30" t="str" cm="1">
        <f t="array" ref="N23">_xlfn.IFS(L23="","",L23&lt;='Base de dados'!$K$2,'Base de dados'!$K$1,L23&lt;='Base de dados'!$L$3,'Base de dados'!$L$1,L23&lt;='Base de dados'!$M$3,'Base de dados'!$M$1,L23&gt;='Base de dados'!$N$2,'Base de dados'!$N$1)</f>
        <v/>
      </c>
      <c r="O23" s="36">
        <v>80</v>
      </c>
      <c r="P23" s="49" t="str">
        <f>IFERROR(AVERAGE(Tabela2[80]),"")</f>
        <v/>
      </c>
      <c r="Q23" s="30">
        <f>VLOOKUP(O23,'Base de dados'!$A$1:$F$104,MATCH($D$7,'Base de dados'!$A$1:$F$1,0),)</f>
        <v>1705</v>
      </c>
      <c r="R23" s="50" t="str">
        <f>IFERROR((COUNT(Tabela2[80])-SUM(AVES!CL$7:CL$8))/COUNT(Tabela2[80]),"")</f>
        <v/>
      </c>
      <c r="S23" s="56" t="str">
        <f>IFERROR(AVERAGE(Tabela22[Sem 80]),"")</f>
        <v/>
      </c>
      <c r="T23" s="30">
        <f>VLOOKUP(O23,'Base de dados'!$A$1:$J$104,MATCH($E$7,'Base de dados'!$A$1:$J$1,0),0)</f>
        <v>64.099999999999994</v>
      </c>
      <c r="U23" s="30" t="str" cm="1">
        <f t="array" ref="U23">_xlfn.IFS(S23="","",S23&lt;='Base de dados'!$K$2,'Base de dados'!$K$1,S23&lt;='Base de dados'!$L$3,'Base de dados'!$L$1,S23&lt;='Base de dados'!$M$3,'Base de dados'!$M$1,S23&gt;='Base de dados'!$N$2,'Base de dados'!$N$1)</f>
        <v/>
      </c>
    </row>
    <row r="24" spans="1:21" x14ac:dyDescent="0.25">
      <c r="A24" s="36">
        <v>11</v>
      </c>
      <c r="B24" s="51" t="str">
        <f>IFERROR(AVERAGE(Tabela2[11]),"")</f>
        <v/>
      </c>
      <c r="C24" s="29">
        <f>VLOOKUP(A24,'Base de dados'!$A$1:$F$104,MATCH($D$7,'Base de dados'!$A$1:$F$1,0),)</f>
        <v>822</v>
      </c>
      <c r="D24" s="52" t="str">
        <f>IFERROR((COUNT(Tabela2[11])-SUM(AVES!U$7:U$8))/COUNT(Tabela2[11]),"")</f>
        <v/>
      </c>
      <c r="E24" s="29" t="s">
        <v>851</v>
      </c>
      <c r="F24" s="29" t="s">
        <v>851</v>
      </c>
      <c r="G24" s="29" t="s">
        <v>851</v>
      </c>
      <c r="H24" s="36">
        <v>46</v>
      </c>
      <c r="I24" s="51" t="str">
        <f>IFERROR(AVERAGE(Tabela2[46]),"")</f>
        <v/>
      </c>
      <c r="J24" s="29">
        <f>VLOOKUP(H24,'Base de dados'!$A$1:$F$104,MATCH($D$7,'Base de dados'!$A$1:$F$1,0),)</f>
        <v>1638</v>
      </c>
      <c r="K24" s="52" t="str">
        <f>IFERROR((COUNT(Tabela2[46])-SUM(AVES!BD$7:BD$8))/COUNT(Tabela2[46]),"")</f>
        <v/>
      </c>
      <c r="L24" s="57" t="str">
        <f>IFERROR(AVERAGE(Tabela22[Sem 46]),"")</f>
        <v/>
      </c>
      <c r="M24" s="29">
        <f>VLOOKUP(H24,'Base de dados'!$A$1:$J$104,MATCH($E$7,'Base de dados'!$A$1:$J$1,0),0)</f>
        <v>61.8</v>
      </c>
      <c r="N24" s="29" t="str" cm="1">
        <f t="array" ref="N24">_xlfn.IFS(L24="","",L24&lt;='Base de dados'!$K$2,'Base de dados'!$K$1,L24&lt;='Base de dados'!$L$3,'Base de dados'!$L$1,L24&lt;='Base de dados'!$M$3,'Base de dados'!$M$1,L24&gt;='Base de dados'!$N$2,'Base de dados'!$N$1)</f>
        <v/>
      </c>
      <c r="O24" s="36">
        <v>81</v>
      </c>
      <c r="P24" s="51" t="str">
        <f>IFERROR(AVERAGE(Tabela2[81]),"")</f>
        <v/>
      </c>
      <c r="Q24" s="29">
        <f>VLOOKUP(O24,'Base de dados'!$A$1:$F$104,MATCH($D$7,'Base de dados'!$A$1:$F$1,0),)</f>
        <v>1706</v>
      </c>
      <c r="R24" s="52" t="str">
        <f>IFERROR((COUNT(Tabela2[81])-SUM(AVES!CM$7:CM$8))/COUNT(Tabela2[81]),"")</f>
        <v/>
      </c>
      <c r="S24" s="57" t="str">
        <f>IFERROR(AVERAGE(Tabela22[Sem 81]),"")</f>
        <v/>
      </c>
      <c r="T24" s="29">
        <f>VLOOKUP(O24,'Base de dados'!$A$1:$J$104,MATCH($E$7,'Base de dados'!$A$1:$J$1,0),0)</f>
        <v>64.099999999999994</v>
      </c>
      <c r="U24" s="29" t="str" cm="1">
        <f t="array" ref="U24">_xlfn.IFS(S24="","",S24&lt;='Base de dados'!$K$2,'Base de dados'!$K$1,S24&lt;='Base de dados'!$L$3,'Base de dados'!$L$1,S24&lt;='Base de dados'!$M$3,'Base de dados'!$M$1,S24&gt;='Base de dados'!$N$2,'Base de dados'!$N$1)</f>
        <v/>
      </c>
    </row>
    <row r="25" spans="1:21" x14ac:dyDescent="0.25">
      <c r="A25" s="36">
        <v>12</v>
      </c>
      <c r="B25" s="49" t="str">
        <f>IFERROR(AVERAGE(Tabela2[12]),"")</f>
        <v/>
      </c>
      <c r="C25" s="30">
        <f>VLOOKUP(A25,'Base de dados'!$A$1:$F$104,MATCH($D$7,'Base de dados'!$A$1:$F$1,0),)</f>
        <v>896</v>
      </c>
      <c r="D25" s="50" t="str">
        <f>IFERROR((COUNT(Tabela2[12])-SUM(AVES!V$7:V$8))/COUNT(Tabela2[12]),"")</f>
        <v/>
      </c>
      <c r="E25" s="30" t="s">
        <v>851</v>
      </c>
      <c r="F25" s="30" t="s">
        <v>851</v>
      </c>
      <c r="G25" s="30" t="s">
        <v>851</v>
      </c>
      <c r="H25" s="36">
        <v>47</v>
      </c>
      <c r="I25" s="49" t="str">
        <f>IFERROR(AVERAGE(Tabela2[47]),"")</f>
        <v/>
      </c>
      <c r="J25" s="30">
        <f>VLOOKUP(H25,'Base de dados'!$A$1:$F$104,MATCH($D$7,'Base de dados'!$A$1:$F$1,0),)</f>
        <v>1640</v>
      </c>
      <c r="K25" s="50" t="str">
        <f>IFERROR((COUNT(Tabela2[47])-SUM(AVES!BE$7:BE$8))/COUNT(Tabela2[47]),"")</f>
        <v/>
      </c>
      <c r="L25" s="56" t="str">
        <f>IFERROR(AVERAGE(Tabela22[Sem 47]),"")</f>
        <v/>
      </c>
      <c r="M25" s="30">
        <f>VLOOKUP(H25,'Base de dados'!$A$1:$J$104,MATCH($E$7,'Base de dados'!$A$1:$J$1,0),0)</f>
        <v>61.9</v>
      </c>
      <c r="N25" s="30" t="str" cm="1">
        <f t="array" ref="N25">_xlfn.IFS(L25="","",L25&lt;='Base de dados'!$K$2,'Base de dados'!$K$1,L25&lt;='Base de dados'!$L$3,'Base de dados'!$L$1,L25&lt;='Base de dados'!$M$3,'Base de dados'!$M$1,L25&gt;='Base de dados'!$N$2,'Base de dados'!$N$1)</f>
        <v/>
      </c>
      <c r="O25" s="36">
        <v>82</v>
      </c>
      <c r="P25" s="49" t="str">
        <f>IFERROR(AVERAGE(Tabela2[82]),"")</f>
        <v/>
      </c>
      <c r="Q25" s="30">
        <f>VLOOKUP(O25,'Base de dados'!$A$1:$F$104,MATCH($D$7,'Base de dados'!$A$1:$F$1,0),)</f>
        <v>1707</v>
      </c>
      <c r="R25" s="50" t="str">
        <f>IFERROR((COUNT(Tabela2[82])-SUM(AVES!CN$7:CN$8))/COUNT(Tabela2[82]),"")</f>
        <v/>
      </c>
      <c r="S25" s="56" t="str">
        <f>IFERROR(AVERAGE(Tabela22[Sem 82]),"")</f>
        <v/>
      </c>
      <c r="T25" s="30">
        <f>VLOOKUP(O25,'Base de dados'!$A$1:$J$104,MATCH($E$7,'Base de dados'!$A$1:$J$1,0),0)</f>
        <v>64.2</v>
      </c>
      <c r="U25" s="30" t="str" cm="1">
        <f t="array" ref="U25">_xlfn.IFS(S25="","",S25&lt;='Base de dados'!$K$2,'Base de dados'!$K$1,S25&lt;='Base de dados'!$L$3,'Base de dados'!$L$1,S25&lt;='Base de dados'!$M$3,'Base de dados'!$M$1,S25&gt;='Base de dados'!$N$2,'Base de dados'!$N$1)</f>
        <v/>
      </c>
    </row>
    <row r="26" spans="1:21" x14ac:dyDescent="0.25">
      <c r="A26" s="36">
        <v>13</v>
      </c>
      <c r="B26" s="51" t="str">
        <f>IFERROR(AVERAGE(Tabela2[13]),"")</f>
        <v/>
      </c>
      <c r="C26" s="29">
        <f>VLOOKUP(A26,'Base de dados'!$A$1:$F$104,MATCH($D$7,'Base de dados'!$A$1:$F$1,0),)</f>
        <v>967</v>
      </c>
      <c r="D26" s="52" t="str">
        <f>IFERROR((COUNT(Tabela2[13])-SUM(AVES!W$7:W$8))/COUNT(Tabela2[13]),"")</f>
        <v/>
      </c>
      <c r="E26" s="29" t="s">
        <v>851</v>
      </c>
      <c r="F26" s="29" t="s">
        <v>851</v>
      </c>
      <c r="G26" s="29" t="s">
        <v>851</v>
      </c>
      <c r="H26" s="36">
        <v>48</v>
      </c>
      <c r="I26" s="51" t="str">
        <f>IFERROR(AVERAGE(Tabela2[48]),"")</f>
        <v/>
      </c>
      <c r="J26" s="29">
        <f>VLOOKUP(H26,'Base de dados'!$A$1:$F$104,MATCH($D$7,'Base de dados'!$A$1:$F$1,0),)</f>
        <v>1642</v>
      </c>
      <c r="K26" s="52" t="str">
        <f>IFERROR((COUNT(Tabela2[48])-SUM(AVES!BF$7:BF$8))/COUNT(Tabela2[48]),"")</f>
        <v/>
      </c>
      <c r="L26" s="57" t="str">
        <f>IFERROR(AVERAGE(Tabela22[Sem 48]),"")</f>
        <v/>
      </c>
      <c r="M26" s="29">
        <f>VLOOKUP(H26,'Base de dados'!$A$1:$J$104,MATCH($E$7,'Base de dados'!$A$1:$J$1,0),0)</f>
        <v>62</v>
      </c>
      <c r="N26" s="29" t="str" cm="1">
        <f t="array" ref="N26">_xlfn.IFS(L26="","",L26&lt;='Base de dados'!$K$2,'Base de dados'!$K$1,L26&lt;='Base de dados'!$L$3,'Base de dados'!$L$1,L26&lt;='Base de dados'!$M$3,'Base de dados'!$M$1,L26&gt;='Base de dados'!$N$2,'Base de dados'!$N$1)</f>
        <v/>
      </c>
      <c r="O26" s="36">
        <v>83</v>
      </c>
      <c r="P26" s="51" t="str">
        <f>IFERROR(AVERAGE(Tabela2[83]),"")</f>
        <v/>
      </c>
      <c r="Q26" s="29">
        <f>VLOOKUP(O26,'Base de dados'!$A$1:$F$104,MATCH($D$7,'Base de dados'!$A$1:$F$1,0),)</f>
        <v>1708</v>
      </c>
      <c r="R26" s="52" t="str">
        <f>IFERROR((COUNT(Tabela2[83])-SUM(AVES!CO$7:CO$8))/COUNT(Tabela2[83]),"")</f>
        <v/>
      </c>
      <c r="S26" s="57" t="str">
        <f>IFERROR(AVERAGE(Tabela22[Sem 83]),"")</f>
        <v/>
      </c>
      <c r="T26" s="29">
        <f>VLOOKUP(O26,'Base de dados'!$A$1:$J$104,MATCH($E$7,'Base de dados'!$A$1:$J$1,0),0)</f>
        <v>64.2</v>
      </c>
      <c r="U26" s="29" t="str" cm="1">
        <f t="array" ref="U26">_xlfn.IFS(S26="","",S26&lt;='Base de dados'!$K$2,'Base de dados'!$K$1,S26&lt;='Base de dados'!$L$3,'Base de dados'!$L$1,S26&lt;='Base de dados'!$M$3,'Base de dados'!$M$1,S26&gt;='Base de dados'!$N$2,'Base de dados'!$N$1)</f>
        <v/>
      </c>
    </row>
    <row r="27" spans="1:21" x14ac:dyDescent="0.25">
      <c r="A27" s="36">
        <v>14</v>
      </c>
      <c r="B27" s="49" t="str">
        <f>IFERROR(AVERAGE(Tabela2[14]),"")</f>
        <v/>
      </c>
      <c r="C27" s="30">
        <f>VLOOKUP(A27,'Base de dados'!$A$1:$F$104,MATCH($D$7,'Base de dados'!$A$1:$F$1,0),)</f>
        <v>1035</v>
      </c>
      <c r="D27" s="50" t="str">
        <f>IFERROR((COUNT(Tabela2[14])-SUM(AVES!X$7:X$8))/COUNT(Tabela2[14]),"")</f>
        <v/>
      </c>
      <c r="E27" s="30" t="s">
        <v>851</v>
      </c>
      <c r="F27" s="30" t="s">
        <v>851</v>
      </c>
      <c r="G27" s="30" t="s">
        <v>851</v>
      </c>
      <c r="H27" s="36">
        <v>49</v>
      </c>
      <c r="I27" s="49" t="str">
        <f>IFERROR(AVERAGE(Tabela2[49]),"")</f>
        <v/>
      </c>
      <c r="J27" s="30">
        <f>VLOOKUP(H27,'Base de dados'!$A$1:$F$104,MATCH($D$7,'Base de dados'!$A$1:$F$1,0),)</f>
        <v>1644</v>
      </c>
      <c r="K27" s="50" t="str">
        <f>IFERROR((COUNT(Tabela2[49])-SUM(AVES!BG$7:BG$8))/COUNT(Tabela2[49]),"")</f>
        <v/>
      </c>
      <c r="L27" s="56" t="str">
        <f>IFERROR(AVERAGE(Tabela22[Sem 49]),"")</f>
        <v/>
      </c>
      <c r="M27" s="30">
        <f>VLOOKUP(H27,'Base de dados'!$A$1:$J$104,MATCH($E$7,'Base de dados'!$A$1:$J$1,0),0)</f>
        <v>62.1</v>
      </c>
      <c r="N27" s="30" t="str" cm="1">
        <f t="array" ref="N27">_xlfn.IFS(L27="","",L27&lt;='Base de dados'!$K$2,'Base de dados'!$K$1,L27&lt;='Base de dados'!$L$3,'Base de dados'!$L$1,L27&lt;='Base de dados'!$M$3,'Base de dados'!$M$1,L27&gt;='Base de dados'!$N$2,'Base de dados'!$N$1)</f>
        <v/>
      </c>
      <c r="O27" s="36">
        <v>84</v>
      </c>
      <c r="P27" s="49" t="str">
        <f>IFERROR(AVERAGE(Tabela2[84]),"")</f>
        <v/>
      </c>
      <c r="Q27" s="30">
        <f>VLOOKUP(O27,'Base de dados'!$A$1:$F$104,MATCH($D$7,'Base de dados'!$A$1:$F$1,0),)</f>
        <v>1709</v>
      </c>
      <c r="R27" s="50" t="str">
        <f>IFERROR((COUNT(Tabela2[84])-SUM(AVES!CP$7:CP$8))/COUNT(Tabela2[84]),"")</f>
        <v/>
      </c>
      <c r="S27" s="56" t="str">
        <f>IFERROR(AVERAGE(Tabela22[Sem 84]),"")</f>
        <v/>
      </c>
      <c r="T27" s="30">
        <f>VLOOKUP(O27,'Base de dados'!$A$1:$J$104,MATCH($E$7,'Base de dados'!$A$1:$J$1,0),0)</f>
        <v>64.2</v>
      </c>
      <c r="U27" s="30" t="str" cm="1">
        <f t="array" ref="U27">_xlfn.IFS(S27="","",S27&lt;='Base de dados'!$K$2,'Base de dados'!$K$1,S27&lt;='Base de dados'!$L$3,'Base de dados'!$L$1,S27&lt;='Base de dados'!$M$3,'Base de dados'!$M$1,S27&gt;='Base de dados'!$N$2,'Base de dados'!$N$1)</f>
        <v/>
      </c>
    </row>
    <row r="28" spans="1:21" x14ac:dyDescent="0.25">
      <c r="A28" s="36">
        <v>15</v>
      </c>
      <c r="B28" s="51" t="str">
        <f>IFERROR(AVERAGE(Tabela2[15]),"")</f>
        <v/>
      </c>
      <c r="C28" s="29">
        <f>VLOOKUP(A28,'Base de dados'!$A$1:$F$104,MATCH($D$7,'Base de dados'!$A$1:$F$1,0),)</f>
        <v>1101</v>
      </c>
      <c r="D28" s="52" t="str">
        <f>IFERROR((COUNT(Tabela2[15])-SUM(AVES!Y$7:Y$8))/COUNT(Tabela2[15]),"")</f>
        <v/>
      </c>
      <c r="E28" s="29" t="s">
        <v>851</v>
      </c>
      <c r="F28" s="29" t="s">
        <v>851</v>
      </c>
      <c r="G28" s="29" t="s">
        <v>851</v>
      </c>
      <c r="H28" s="36">
        <v>50</v>
      </c>
      <c r="I28" s="51" t="str">
        <f>IFERROR(AVERAGE(Tabela2[50]),"")</f>
        <v/>
      </c>
      <c r="J28" s="29">
        <f>VLOOKUP(H28,'Base de dados'!$A$1:$F$104,MATCH($D$7,'Base de dados'!$A$1:$F$1,0),)</f>
        <v>1646</v>
      </c>
      <c r="K28" s="52" t="str">
        <f>IFERROR((COUNT(Tabela2[50])-SUM(AVES!BH$7:BH$8))/COUNT(Tabela2[50]),"")</f>
        <v/>
      </c>
      <c r="L28" s="57" t="str">
        <f>IFERROR(AVERAGE(Tabela22[Sem 50]),"")</f>
        <v/>
      </c>
      <c r="M28" s="29">
        <f>VLOOKUP(H28,'Base de dados'!$A$1:$J$104,MATCH($E$7,'Base de dados'!$A$1:$J$1,0),0)</f>
        <v>62.3</v>
      </c>
      <c r="N28" s="29" t="str" cm="1">
        <f t="array" ref="N28">_xlfn.IFS(L28="","",L28&lt;='Base de dados'!$K$2,'Base de dados'!$K$1,L28&lt;='Base de dados'!$L$3,'Base de dados'!$L$1,L28&lt;='Base de dados'!$M$3,'Base de dados'!$M$1,L28&gt;='Base de dados'!$N$2,'Base de dados'!$N$1)</f>
        <v/>
      </c>
      <c r="O28" s="36">
        <v>85</v>
      </c>
      <c r="P28" s="51" t="str">
        <f>IFERROR(AVERAGE(Tabela2[85]),"")</f>
        <v/>
      </c>
      <c r="Q28" s="29">
        <f>VLOOKUP(O28,'Base de dados'!$A$1:$F$104,MATCH($D$7,'Base de dados'!$A$1:$F$1,0),)</f>
        <v>1710</v>
      </c>
      <c r="R28" s="52" t="str">
        <f>IFERROR((COUNT(Tabela2[85])-SUM(AVES!CQ$7:CQ$8))/COUNT(Tabela2[85]),"")</f>
        <v/>
      </c>
      <c r="S28" s="57" t="str">
        <f>IFERROR(AVERAGE(Tabela22[Sem 85]),"")</f>
        <v/>
      </c>
      <c r="T28" s="29">
        <f>VLOOKUP(O28,'Base de dados'!$A$1:$J$104,MATCH($E$7,'Base de dados'!$A$1:$J$1,0),0)</f>
        <v>64.2</v>
      </c>
      <c r="U28" s="29" t="str" cm="1">
        <f t="array" ref="U28">_xlfn.IFS(S28="","",S28&lt;='Base de dados'!$K$2,'Base de dados'!$K$1,S28&lt;='Base de dados'!$L$3,'Base de dados'!$L$1,S28&lt;='Base de dados'!$M$3,'Base de dados'!$M$1,S28&gt;='Base de dados'!$N$2,'Base de dados'!$N$1)</f>
        <v/>
      </c>
    </row>
    <row r="29" spans="1:21" x14ac:dyDescent="0.25">
      <c r="A29" s="36">
        <v>16</v>
      </c>
      <c r="B29" s="49" t="str">
        <f>IFERROR(AVERAGE(Tabela2[16]),"")</f>
        <v/>
      </c>
      <c r="C29" s="30">
        <f>VLOOKUP(A29,'Base de dados'!$A$1:$F$104,MATCH($D$7,'Base de dados'!$A$1:$F$1,0),)</f>
        <v>1168</v>
      </c>
      <c r="D29" s="50" t="str">
        <f>IFERROR((COUNT(Tabela2[16])-SUM(AVES!Z$7:Z$8))/COUNT(Tabela2[16]),"")</f>
        <v/>
      </c>
      <c r="E29" s="30" t="s">
        <v>851</v>
      </c>
      <c r="F29" s="30" t="s">
        <v>851</v>
      </c>
      <c r="G29" s="30" t="s">
        <v>851</v>
      </c>
      <c r="H29" s="36">
        <v>51</v>
      </c>
      <c r="I29" s="49" t="str">
        <f>IFERROR(AVERAGE(Tabela2[51]),"")</f>
        <v/>
      </c>
      <c r="J29" s="30">
        <f>VLOOKUP(H29,'Base de dados'!$A$1:$F$104,MATCH($D$7,'Base de dados'!$A$1:$F$1,0),)</f>
        <v>1648</v>
      </c>
      <c r="K29" s="50" t="str">
        <f>IFERROR((COUNT(Tabela2[51])-SUM(AVES!BI$7:BI$8))/COUNT(Tabela2[51]),"")</f>
        <v/>
      </c>
      <c r="L29" s="56" t="str">
        <f>IFERROR(AVERAGE(Tabela22[Sem 51]),"")</f>
        <v/>
      </c>
      <c r="M29" s="30">
        <f>VLOOKUP(H29,'Base de dados'!$A$1:$J$104,MATCH($E$7,'Base de dados'!$A$1:$J$1,0),0)</f>
        <v>62.4</v>
      </c>
      <c r="N29" s="30" t="str" cm="1">
        <f t="array" ref="N29">_xlfn.IFS(L29="","",L29&lt;='Base de dados'!$K$2,'Base de dados'!$K$1,L29&lt;='Base de dados'!$L$3,'Base de dados'!$L$1,L29&lt;='Base de dados'!$M$3,'Base de dados'!$M$1,L29&gt;='Base de dados'!$N$2,'Base de dados'!$N$1)</f>
        <v/>
      </c>
      <c r="O29" s="36">
        <v>86</v>
      </c>
      <c r="P29" s="49" t="str">
        <f>IFERROR(AVERAGE(Tabela2[86]),"")</f>
        <v/>
      </c>
      <c r="Q29" s="30">
        <f>VLOOKUP(O29,'Base de dados'!$A$1:$F$104,MATCH($D$7,'Base de dados'!$A$1:$F$1,0),)</f>
        <v>1711</v>
      </c>
      <c r="R29" s="50" t="str">
        <f>IFERROR((COUNT(Tabela2[86])-SUM(AVES!CR$7:CR$8))/COUNT(Tabela2[86]),"")</f>
        <v/>
      </c>
      <c r="S29" s="56" t="str">
        <f>IFERROR(AVERAGE(Tabela22[Sem 86]),"")</f>
        <v/>
      </c>
      <c r="T29" s="30">
        <f>VLOOKUP(O29,'Base de dados'!$A$1:$J$104,MATCH($E$7,'Base de dados'!$A$1:$J$1,0),0)</f>
        <v>64.2</v>
      </c>
      <c r="U29" s="30" t="str" cm="1">
        <f t="array" ref="U29">_xlfn.IFS(S29="","",S29&lt;='Base de dados'!$K$2,'Base de dados'!$K$1,S29&lt;='Base de dados'!$L$3,'Base de dados'!$L$1,S29&lt;='Base de dados'!$M$3,'Base de dados'!$M$1,S29&gt;='Base de dados'!$N$2,'Base de dados'!$N$1)</f>
        <v/>
      </c>
    </row>
    <row r="30" spans="1:21" x14ac:dyDescent="0.25">
      <c r="A30" s="36">
        <v>17</v>
      </c>
      <c r="B30" s="51" t="str">
        <f>IFERROR(AVERAGE(Tabela2[17]),"")</f>
        <v/>
      </c>
      <c r="C30" s="29">
        <f>VLOOKUP(A30,'Base de dados'!$A$1:$F$104,MATCH($D$7,'Base de dados'!$A$1:$F$1,0),)</f>
        <v>1235</v>
      </c>
      <c r="D30" s="52" t="str">
        <f>IFERROR((COUNT(Tabela2[17])-SUM(AVES!AA$7:AA$8))/COUNT(Tabela2[17]),"")</f>
        <v/>
      </c>
      <c r="E30" s="29" t="s">
        <v>851</v>
      </c>
      <c r="F30" s="29" t="s">
        <v>851</v>
      </c>
      <c r="G30" s="29" t="s">
        <v>851</v>
      </c>
      <c r="H30" s="36">
        <v>52</v>
      </c>
      <c r="I30" s="51" t="str">
        <f>IFERROR(AVERAGE(Tabela2[52]),"")</f>
        <v/>
      </c>
      <c r="J30" s="29">
        <f>VLOOKUP(H30,'Base de dados'!$A$1:$F$104,MATCH($D$7,'Base de dados'!$A$1:$F$1,0),)</f>
        <v>1650</v>
      </c>
      <c r="K30" s="52" t="str">
        <f>IFERROR((COUNT(Tabela2[52])-SUM(AVES!BJ$7:BJ$8))/COUNT(Tabela2[52]),"")</f>
        <v/>
      </c>
      <c r="L30" s="57" t="str">
        <f>IFERROR(AVERAGE(Tabela22[Sem 52]),"")</f>
        <v/>
      </c>
      <c r="M30" s="29">
        <f>VLOOKUP(H30,'Base de dados'!$A$1:$J$104,MATCH($E$7,'Base de dados'!$A$1:$J$1,0),0)</f>
        <v>62.5</v>
      </c>
      <c r="N30" s="29" t="str" cm="1">
        <f t="array" ref="N30">_xlfn.IFS(L30="","",L30&lt;='Base de dados'!$K$2,'Base de dados'!$K$1,L30&lt;='Base de dados'!$L$3,'Base de dados'!$L$1,L30&lt;='Base de dados'!$M$3,'Base de dados'!$M$1,L30&gt;='Base de dados'!$N$2,'Base de dados'!$N$1)</f>
        <v/>
      </c>
      <c r="O30" s="36">
        <v>87</v>
      </c>
      <c r="P30" s="51" t="str">
        <f>IFERROR(AVERAGE(Tabela2[87]),"")</f>
        <v/>
      </c>
      <c r="Q30" s="29">
        <f>VLOOKUP(O30,'Base de dados'!$A$1:$F$104,MATCH($D$7,'Base de dados'!$A$1:$F$1,0),)</f>
        <v>1712</v>
      </c>
      <c r="R30" s="52" t="str">
        <f>IFERROR((COUNT(Tabela2[87])-SUM(AVES!CS$7:CS$8))/COUNT(Tabela2[87]),"")</f>
        <v/>
      </c>
      <c r="S30" s="57" t="str">
        <f>IFERROR(AVERAGE(Tabela22[Sem 87]),"")</f>
        <v/>
      </c>
      <c r="T30" s="29">
        <f>VLOOKUP(O30,'Base de dados'!$A$1:$J$104,MATCH($E$7,'Base de dados'!$A$1:$J$1,0),0)</f>
        <v>64.2</v>
      </c>
      <c r="U30" s="29" t="str" cm="1">
        <f t="array" ref="U30">_xlfn.IFS(S30="","",S30&lt;='Base de dados'!$K$2,'Base de dados'!$K$1,S30&lt;='Base de dados'!$L$3,'Base de dados'!$L$1,S30&lt;='Base de dados'!$M$3,'Base de dados'!$M$1,S30&gt;='Base de dados'!$N$2,'Base de dados'!$N$1)</f>
        <v/>
      </c>
    </row>
    <row r="31" spans="1:21" x14ac:dyDescent="0.25">
      <c r="A31" s="36">
        <v>18</v>
      </c>
      <c r="B31" s="49" t="str">
        <f>IFERROR(AVERAGE(Tabela2[18]),"")</f>
        <v/>
      </c>
      <c r="C31" s="30">
        <f>VLOOKUP(A31,'Base de dados'!$A$1:$F$104,MATCH($D$7,'Base de dados'!$A$1:$F$1,0),)</f>
        <v>1300</v>
      </c>
      <c r="D31" s="50" t="str">
        <f>IFERROR((COUNT(Tabela2[18])-SUM(AVES!AB$7:AB$8))/COUNT(Tabela2[18]),"")</f>
        <v/>
      </c>
      <c r="E31" s="30" t="s">
        <v>851</v>
      </c>
      <c r="F31" s="30" t="s">
        <v>851</v>
      </c>
      <c r="G31" s="30" t="s">
        <v>851</v>
      </c>
      <c r="H31" s="36">
        <v>53</v>
      </c>
      <c r="I31" s="49" t="str">
        <f>IFERROR(AVERAGE(Tabela2[53]),"")</f>
        <v/>
      </c>
      <c r="J31" s="30">
        <f>VLOOKUP(H31,'Base de dados'!$A$1:$F$104,MATCH($D$7,'Base de dados'!$A$1:$F$1,0),)</f>
        <v>1652</v>
      </c>
      <c r="K31" s="50" t="str">
        <f>IFERROR((COUNT(Tabela2[53])-SUM(AVES!BK$7:BK$8))/COUNT(Tabela2[53]),"")</f>
        <v/>
      </c>
      <c r="L31" s="56" t="str">
        <f>IFERROR(AVERAGE(Tabela22[Sem 53]),"")</f>
        <v/>
      </c>
      <c r="M31" s="30">
        <f>VLOOKUP(H31,'Base de dados'!$A$1:$J$104,MATCH($E$7,'Base de dados'!$A$1:$J$1,0),0)</f>
        <v>62.6</v>
      </c>
      <c r="N31" s="30" t="str" cm="1">
        <f t="array" ref="N31">_xlfn.IFS(L31="","",L31&lt;='Base de dados'!$K$2,'Base de dados'!$K$1,L31&lt;='Base de dados'!$L$3,'Base de dados'!$L$1,L31&lt;='Base de dados'!$M$3,'Base de dados'!$M$1,L31&gt;='Base de dados'!$N$2,'Base de dados'!$N$1)</f>
        <v/>
      </c>
      <c r="O31" s="36">
        <v>88</v>
      </c>
      <c r="P31" s="49" t="str">
        <f>IFERROR(AVERAGE(Tabela2[88]),"")</f>
        <v/>
      </c>
      <c r="Q31" s="30">
        <f>VLOOKUP(O31,'Base de dados'!$A$1:$F$104,MATCH($D$7,'Base de dados'!$A$1:$F$1,0),)</f>
        <v>1713</v>
      </c>
      <c r="R31" s="50" t="str">
        <f>IFERROR((COUNT(Tabela2[88])-SUM(AVES!CT$7:CT$8))/COUNT(Tabela2[88]),"")</f>
        <v/>
      </c>
      <c r="S31" s="56" t="str">
        <f>IFERROR(AVERAGE(Tabela22[Sem 88]),"")</f>
        <v/>
      </c>
      <c r="T31" s="30">
        <f>VLOOKUP(O31,'Base de dados'!$A$1:$J$104,MATCH($E$7,'Base de dados'!$A$1:$J$1,0),0)</f>
        <v>64.2</v>
      </c>
      <c r="U31" s="30" t="str" cm="1">
        <f t="array" ref="U31">_xlfn.IFS(S31="","",S31&lt;='Base de dados'!$K$2,'Base de dados'!$K$1,S31&lt;='Base de dados'!$L$3,'Base de dados'!$L$1,S31&lt;='Base de dados'!$M$3,'Base de dados'!$M$1,S31&gt;='Base de dados'!$N$2,'Base de dados'!$N$1)</f>
        <v/>
      </c>
    </row>
    <row r="32" spans="1:21" x14ac:dyDescent="0.25">
      <c r="A32" s="36">
        <v>19</v>
      </c>
      <c r="B32" s="51" t="str">
        <f>IFERROR(AVERAGE(Tabela2[19]),"")</f>
        <v/>
      </c>
      <c r="C32" s="29">
        <f>VLOOKUP(A32,'Base de dados'!$A$1:$F$104,MATCH($D$7,'Base de dados'!$A$1:$F$1,0),)</f>
        <v>1358</v>
      </c>
      <c r="D32" s="52" t="str">
        <f>IFERROR((COUNT(Tabela2[19])-SUM(AVES!AC$7:AC$8))/COUNT(Tabela2[19]),"")</f>
        <v/>
      </c>
      <c r="E32" s="57" t="str">
        <f>IFERROR(AVERAGE(Tabela22[Sem 19]),"")</f>
        <v/>
      </c>
      <c r="F32" s="29">
        <f>VLOOKUP(A32,'Base de dados'!$A$1:$J$104,MATCH($E$7,'Base de dados'!$A$1:$J$1,0),0)</f>
        <v>40.799999999999997</v>
      </c>
      <c r="G32" s="29" t="str" cm="1">
        <f t="array" ref="G32">_xlfn.IFS(E32="","",E32&lt;='Base de dados'!$K$2,'Base de dados'!$K$1,E32&lt;='Base de dados'!$L$3,'Base de dados'!$L$1,E32&lt;='Base de dados'!$M$3,'Base de dados'!$M$1,E32&gt;='Base de dados'!$N$2,'Base de dados'!$N$1)</f>
        <v/>
      </c>
      <c r="H32" s="36">
        <v>54</v>
      </c>
      <c r="I32" s="51" t="str">
        <f>IFERROR(AVERAGE(Tabela2[54]),"")</f>
        <v/>
      </c>
      <c r="J32" s="29">
        <f>VLOOKUP(H32,'Base de dados'!$A$1:$F$104,MATCH($D$7,'Base de dados'!$A$1:$F$1,0),)</f>
        <v>1654</v>
      </c>
      <c r="K32" s="52" t="str">
        <f>IFERROR((COUNT(Tabela2[54])-SUM(AVES!BL$7:BL$8))/COUNT(Tabela2[54]),"")</f>
        <v/>
      </c>
      <c r="L32" s="57" t="str">
        <f>IFERROR(AVERAGE(Tabela22[Sem 54]),"")</f>
        <v/>
      </c>
      <c r="M32" s="29">
        <f>VLOOKUP(H32,'Base de dados'!$A$1:$J$104,MATCH($E$7,'Base de dados'!$A$1:$J$1,0),0)</f>
        <v>62.7</v>
      </c>
      <c r="N32" s="29" t="str" cm="1">
        <f t="array" ref="N32">_xlfn.IFS(L32="","",L32&lt;='Base de dados'!$K$2,'Base de dados'!$K$1,L32&lt;='Base de dados'!$L$3,'Base de dados'!$L$1,L32&lt;='Base de dados'!$M$3,'Base de dados'!$M$1,L32&gt;='Base de dados'!$N$2,'Base de dados'!$N$1)</f>
        <v/>
      </c>
      <c r="O32" s="36">
        <v>89</v>
      </c>
      <c r="P32" s="51" t="str">
        <f>IFERROR(AVERAGE(Tabela2[89]),"")</f>
        <v/>
      </c>
      <c r="Q32" s="29">
        <f>VLOOKUP(O32,'Base de dados'!$A$1:$F$104,MATCH($D$7,'Base de dados'!$A$1:$F$1,0),)</f>
        <v>1714</v>
      </c>
      <c r="R32" s="52" t="str">
        <f>IFERROR((COUNT(Tabela2[89])-SUM(AVES!CU$7:CU$8))/COUNT(Tabela2[89]),"")</f>
        <v/>
      </c>
      <c r="S32" s="57" t="str">
        <f>IFERROR(AVERAGE(Tabela22[Sem 89]),"")</f>
        <v/>
      </c>
      <c r="T32" s="29">
        <f>VLOOKUP(O32,'Base de dados'!$A$1:$J$104,MATCH($E$7,'Base de dados'!$A$1:$J$1,0),0)</f>
        <v>64.2</v>
      </c>
      <c r="U32" s="29" t="str" cm="1">
        <f t="array" ref="U32">_xlfn.IFS(S32="","",S32&lt;='Base de dados'!$K$2,'Base de dados'!$K$1,S32&lt;='Base de dados'!$L$3,'Base de dados'!$L$1,S32&lt;='Base de dados'!$M$3,'Base de dados'!$M$1,S32&gt;='Base de dados'!$N$2,'Base de dados'!$N$1)</f>
        <v/>
      </c>
    </row>
    <row r="33" spans="1:21" x14ac:dyDescent="0.25">
      <c r="A33" s="36">
        <v>20</v>
      </c>
      <c r="B33" s="49" t="str">
        <f>IFERROR(AVERAGE(Tabela2[20]),"")</f>
        <v/>
      </c>
      <c r="C33" s="30">
        <f>VLOOKUP(A33,'Base de dados'!$A$1:$F$104,MATCH($D$7,'Base de dados'!$A$1:$F$1,0),)</f>
        <v>1408</v>
      </c>
      <c r="D33" s="50" t="str">
        <f>IFERROR((COUNT(Tabela2[20])-SUM(AVES!AD$7:AD$8))/COUNT(Tabela2[20]),"")</f>
        <v/>
      </c>
      <c r="E33" s="56" t="str">
        <f>IFERROR(AVERAGE(Tabela22[Sem 20]),"")</f>
        <v/>
      </c>
      <c r="F33" s="30">
        <f>VLOOKUP(A33,'Base de dados'!$A$1:$J$104,MATCH($E$7,'Base de dados'!$A$1:$J$1,0),0)</f>
        <v>43.7</v>
      </c>
      <c r="G33" s="30" t="str" cm="1">
        <f t="array" ref="G33">_xlfn.IFS(E33="","",E33&lt;='Base de dados'!$K$2,'Base de dados'!$K$1,E33&lt;='Base de dados'!$L$3,'Base de dados'!$L$1,E33&lt;='Base de dados'!$M$3,'Base de dados'!$M$1,E33&gt;='Base de dados'!$N$2,'Base de dados'!$N$1)</f>
        <v/>
      </c>
      <c r="H33" s="36">
        <v>55</v>
      </c>
      <c r="I33" s="49" t="str">
        <f>IFERROR(AVERAGE(Tabela2[55]),"")</f>
        <v/>
      </c>
      <c r="J33" s="30">
        <f>VLOOKUP(H33,'Base de dados'!$A$1:$F$104,MATCH($D$7,'Base de dados'!$A$1:$F$1,0),)</f>
        <v>1656</v>
      </c>
      <c r="K33" s="50" t="str">
        <f>IFERROR((COUNT(Tabela2[55])-SUM(AVES!BM$7:BM$8))/COUNT(Tabela2[55]),"")</f>
        <v/>
      </c>
      <c r="L33" s="56" t="str">
        <f>IFERROR(AVERAGE(Tabela22[Sem 55]),"")</f>
        <v/>
      </c>
      <c r="M33" s="30">
        <f>VLOOKUP(H33,'Base de dados'!$A$1:$J$104,MATCH($E$7,'Base de dados'!$A$1:$J$1,0),0)</f>
        <v>62.8</v>
      </c>
      <c r="N33" s="30" t="str" cm="1">
        <f t="array" ref="N33">_xlfn.IFS(L33="","",L33&lt;='Base de dados'!$K$2,'Base de dados'!$K$1,L33&lt;='Base de dados'!$L$3,'Base de dados'!$L$1,L33&lt;='Base de dados'!$M$3,'Base de dados'!$M$1,L33&gt;='Base de dados'!$N$2,'Base de dados'!$N$1)</f>
        <v/>
      </c>
      <c r="O33" s="36">
        <v>90</v>
      </c>
      <c r="P33" s="49" t="str">
        <f>IFERROR(AVERAGE(Tabela2[90]),"")</f>
        <v/>
      </c>
      <c r="Q33" s="30">
        <f>VLOOKUP(O33,'Base de dados'!$A$1:$F$104,MATCH($D$7,'Base de dados'!$A$1:$F$1,0),)</f>
        <v>1715</v>
      </c>
      <c r="R33" s="50" t="str">
        <f>IFERROR((COUNT(Tabela2[90])-SUM(AVES!CV$7:CV$8))/COUNT(Tabela2[90]),"")</f>
        <v/>
      </c>
      <c r="S33" s="56" t="str">
        <f>IFERROR(AVERAGE(Tabela22[Sem 90]),"")</f>
        <v/>
      </c>
      <c r="T33" s="30">
        <f>VLOOKUP(O33,'Base de dados'!$A$1:$J$104,MATCH($E$7,'Base de dados'!$A$1:$J$1,0),0)</f>
        <v>64.2</v>
      </c>
      <c r="U33" s="30" t="str" cm="1">
        <f t="array" ref="U33">_xlfn.IFS(S33="","",S33&lt;='Base de dados'!$K$2,'Base de dados'!$K$1,S33&lt;='Base de dados'!$L$3,'Base de dados'!$L$1,S33&lt;='Base de dados'!$M$3,'Base de dados'!$M$1,S33&gt;='Base de dados'!$N$2,'Base de dados'!$N$1)</f>
        <v/>
      </c>
    </row>
    <row r="34" spans="1:21" x14ac:dyDescent="0.25">
      <c r="A34" s="36">
        <v>21</v>
      </c>
      <c r="B34" s="51" t="str">
        <f>IFERROR(AVERAGE(Tabela2[21]),"")</f>
        <v/>
      </c>
      <c r="C34" s="29">
        <f>VLOOKUP(A34,'Base de dados'!$A$1:$F$104,MATCH($D$7,'Base de dados'!$A$1:$F$1,0),)</f>
        <v>1450</v>
      </c>
      <c r="D34" s="52" t="str">
        <f>IFERROR((COUNT(Tabela2[21])-SUM(AVES!AE$7:AE$8))/COUNT(Tabela2[21]),"")</f>
        <v/>
      </c>
      <c r="E34" s="57" t="str">
        <f>IFERROR(AVERAGE(Tabela22[Sem 21]),"")</f>
        <v/>
      </c>
      <c r="F34" s="29">
        <f>VLOOKUP(A34,'Base de dados'!$A$1:$J$104,MATCH($E$7,'Base de dados'!$A$1:$J$1,0),0)</f>
        <v>46.3</v>
      </c>
      <c r="G34" s="29" t="str" cm="1">
        <f t="array" ref="G34">_xlfn.IFS(E34="","",E34&lt;='Base de dados'!$K$2,'Base de dados'!$K$1,E34&lt;='Base de dados'!$L$3,'Base de dados'!$L$1,E34&lt;='Base de dados'!$M$3,'Base de dados'!$M$1,E34&gt;='Base de dados'!$N$2,'Base de dados'!$N$1)</f>
        <v/>
      </c>
      <c r="H34" s="36">
        <v>56</v>
      </c>
      <c r="I34" s="51" t="str">
        <f>IFERROR(AVERAGE(Tabela2[56]),"")</f>
        <v/>
      </c>
      <c r="J34" s="29">
        <f>VLOOKUP(H34,'Base de dados'!$A$1:$F$104,MATCH($D$7,'Base de dados'!$A$1:$F$1,0),)</f>
        <v>1658</v>
      </c>
      <c r="K34" s="52" t="str">
        <f>IFERROR((COUNT(Tabela2[56])-SUM(AVES!BN$7:BN$8))/COUNT(Tabela2[56]),"")</f>
        <v/>
      </c>
      <c r="L34" s="57" t="str">
        <f>IFERROR(AVERAGE(Tabela22[Sem 56]),"")</f>
        <v/>
      </c>
      <c r="M34" s="29">
        <f>VLOOKUP(H34,'Base de dados'!$A$1:$J$104,MATCH($E$7,'Base de dados'!$A$1:$J$1,0),0)</f>
        <v>62.9</v>
      </c>
      <c r="N34" s="29" t="str" cm="1">
        <f t="array" ref="N34">_xlfn.IFS(L34="","",L34&lt;='Base de dados'!$K$2,'Base de dados'!$K$1,L34&lt;='Base de dados'!$L$3,'Base de dados'!$L$1,L34&lt;='Base de dados'!$M$3,'Base de dados'!$M$1,L34&gt;='Base de dados'!$N$2,'Base de dados'!$N$1)</f>
        <v/>
      </c>
      <c r="O34" s="36">
        <v>91</v>
      </c>
      <c r="P34" s="51" t="str">
        <f>IFERROR(AVERAGE(Tabela2[91]),"")</f>
        <v/>
      </c>
      <c r="Q34" s="29">
        <f>VLOOKUP(O34,'Base de dados'!$A$1:$F$104,MATCH($D$7,'Base de dados'!$A$1:$F$1,0),)</f>
        <v>1716</v>
      </c>
      <c r="R34" s="52" t="str">
        <f>IFERROR((COUNT(Tabela2[91])-SUM(AVES!CW$7:CW$8))/COUNT(Tabela2[91]),"")</f>
        <v/>
      </c>
      <c r="S34" s="57" t="str">
        <f>IFERROR(AVERAGE(Tabela22[Sem 91]),"")</f>
        <v/>
      </c>
      <c r="T34" s="29">
        <f>VLOOKUP(O34,'Base de dados'!$A$1:$J$104,MATCH($E$7,'Base de dados'!$A$1:$J$1,0),0)</f>
        <v>64.2</v>
      </c>
      <c r="U34" s="29" t="str" cm="1">
        <f t="array" ref="U34">_xlfn.IFS(S34="","",S34&lt;='Base de dados'!$K$2,'Base de dados'!$K$1,S34&lt;='Base de dados'!$L$3,'Base de dados'!$L$1,S34&lt;='Base de dados'!$M$3,'Base de dados'!$M$1,S34&gt;='Base de dados'!$N$2,'Base de dados'!$N$1)</f>
        <v/>
      </c>
    </row>
    <row r="35" spans="1:21" x14ac:dyDescent="0.25">
      <c r="A35" s="36">
        <v>22</v>
      </c>
      <c r="B35" s="49" t="str">
        <f>IFERROR(AVERAGE(Tabela2[22]),"")</f>
        <v/>
      </c>
      <c r="C35" s="30">
        <f>VLOOKUP(A35,'Base de dados'!$A$1:$F$104,MATCH($D$7,'Base de dados'!$A$1:$F$1,0),)</f>
        <v>1486</v>
      </c>
      <c r="D35" s="50" t="str">
        <f>IFERROR((COUNT(Tabela2[22])-SUM(AVES!AF$7:AF$8))/COUNT(Tabela2[22]),"")</f>
        <v/>
      </c>
      <c r="E35" s="56" t="str">
        <f>IFERROR(AVERAGE(Tabela22[Sem 22]),"")</f>
        <v/>
      </c>
      <c r="F35" s="30">
        <f>VLOOKUP(A35,'Base de dados'!$A$1:$J$104,MATCH($E$7,'Base de dados'!$A$1:$J$1,0),0)</f>
        <v>48.7</v>
      </c>
      <c r="G35" s="30" t="str" cm="1">
        <f t="array" ref="G35">_xlfn.IFS(E35="","",E35&lt;='Base de dados'!$K$2,'Base de dados'!$K$1,E35&lt;='Base de dados'!$L$3,'Base de dados'!$L$1,E35&lt;='Base de dados'!$M$3,'Base de dados'!$M$1,E35&gt;='Base de dados'!$N$2,'Base de dados'!$N$1)</f>
        <v/>
      </c>
      <c r="H35" s="36">
        <v>57</v>
      </c>
      <c r="I35" s="49" t="str">
        <f>IFERROR(AVERAGE(Tabela2[57]),"")</f>
        <v/>
      </c>
      <c r="J35" s="30">
        <f>VLOOKUP(H35,'Base de dados'!$A$1:$F$104,MATCH($D$7,'Base de dados'!$A$1:$F$1,0),)</f>
        <v>1660</v>
      </c>
      <c r="K35" s="50" t="str">
        <f>IFERROR((COUNT(Tabela2[57])-SUM(AVES!BO$7:BO$8))/COUNT(Tabela2[57]),"")</f>
        <v/>
      </c>
      <c r="L35" s="56" t="str">
        <f>IFERROR(AVERAGE(Tabela22[Sem 57]),"")</f>
        <v/>
      </c>
      <c r="M35" s="30">
        <f>VLOOKUP(H35,'Base de dados'!$A$1:$J$104,MATCH($E$7,'Base de dados'!$A$1:$J$1,0),0)</f>
        <v>63</v>
      </c>
      <c r="N35" s="30" t="str" cm="1">
        <f t="array" ref="N35">_xlfn.IFS(L35="","",L35&lt;='Base de dados'!$K$2,'Base de dados'!$K$1,L35&lt;='Base de dados'!$L$3,'Base de dados'!$L$1,L35&lt;='Base de dados'!$M$3,'Base de dados'!$M$1,L35&gt;='Base de dados'!$N$2,'Base de dados'!$N$1)</f>
        <v/>
      </c>
      <c r="O35" s="36">
        <v>92</v>
      </c>
      <c r="P35" s="49" t="str">
        <f>IFERROR(AVERAGE(Tabela2[92]),"")</f>
        <v/>
      </c>
      <c r="Q35" s="30">
        <f>VLOOKUP(O35,'Base de dados'!$A$1:$F$104,MATCH($D$7,'Base de dados'!$A$1:$F$1,0),)</f>
        <v>1717</v>
      </c>
      <c r="R35" s="50" t="str">
        <f>IFERROR((COUNT(Tabela2[92])-SUM(AVES!CX$7:CX$8))/COUNT(Tabela2[92]),"")</f>
        <v/>
      </c>
      <c r="S35" s="56" t="str">
        <f>IFERROR(AVERAGE(Tabela22[Sem 92]),"")</f>
        <v/>
      </c>
      <c r="T35" s="30">
        <f>VLOOKUP(O35,'Base de dados'!$A$1:$J$104,MATCH($E$7,'Base de dados'!$A$1:$J$1,0),0)</f>
        <v>64.2</v>
      </c>
      <c r="U35" s="30" t="str" cm="1">
        <f t="array" ref="U35">_xlfn.IFS(S35="","",S35&lt;='Base de dados'!$K$2,'Base de dados'!$K$1,S35&lt;='Base de dados'!$L$3,'Base de dados'!$L$1,S35&lt;='Base de dados'!$M$3,'Base de dados'!$M$1,S35&gt;='Base de dados'!$N$2,'Base de dados'!$N$1)</f>
        <v/>
      </c>
    </row>
    <row r="36" spans="1:21" x14ac:dyDescent="0.25">
      <c r="A36" s="36">
        <v>23</v>
      </c>
      <c r="B36" s="51" t="str">
        <f>IFERROR(AVERAGE(Tabela2[23]),"")</f>
        <v/>
      </c>
      <c r="C36" s="29">
        <f>VLOOKUP(A36,'Base de dados'!$A$1:$F$104,MATCH($D$7,'Base de dados'!$A$1:$F$1,0),)</f>
        <v>1516</v>
      </c>
      <c r="D36" s="52" t="str">
        <f>IFERROR((COUNT(Tabela2[23])-SUM(AVES!AG$7:AG$8))/COUNT(Tabela2[23]),"")</f>
        <v/>
      </c>
      <c r="E36" s="57" t="str">
        <f>IFERROR(AVERAGE(Tabela22[Sem 23]),"")</f>
        <v/>
      </c>
      <c r="F36" s="29">
        <f>VLOOKUP(A36,'Base de dados'!$A$1:$J$104,MATCH($E$7,'Base de dados'!$A$1:$J$1,0),0)</f>
        <v>50.8</v>
      </c>
      <c r="G36" s="29" t="str" cm="1">
        <f t="array" ref="G36">_xlfn.IFS(E36="","",E36&lt;='Base de dados'!$K$2,'Base de dados'!$K$1,E36&lt;='Base de dados'!$L$3,'Base de dados'!$L$1,E36&lt;='Base de dados'!$M$3,'Base de dados'!$M$1,E36&gt;='Base de dados'!$N$2,'Base de dados'!$N$1)</f>
        <v/>
      </c>
      <c r="H36" s="36">
        <v>58</v>
      </c>
      <c r="I36" s="51" t="str">
        <f>IFERROR(AVERAGE(Tabela2[58]),"")</f>
        <v/>
      </c>
      <c r="J36" s="29">
        <f>VLOOKUP(H36,'Base de dados'!$A$1:$F$104,MATCH($D$7,'Base de dados'!$A$1:$F$1,0),)</f>
        <v>1662</v>
      </c>
      <c r="K36" s="52" t="str">
        <f>IFERROR((COUNT(Tabela2[58])-SUM(AVES!BP$7:BP$8))/COUNT(Tabela2[58]),"")</f>
        <v/>
      </c>
      <c r="L36" s="57" t="str">
        <f>IFERROR(AVERAGE(Tabela22[Sem 58]),"")</f>
        <v/>
      </c>
      <c r="M36" s="29">
        <f>VLOOKUP(H36,'Base de dados'!$A$1:$J$104,MATCH($E$7,'Base de dados'!$A$1:$J$1,0),0)</f>
        <v>63.1</v>
      </c>
      <c r="N36" s="29" t="str" cm="1">
        <f t="array" ref="N36">_xlfn.IFS(L36="","",L36&lt;='Base de dados'!$K$2,'Base de dados'!$K$1,L36&lt;='Base de dados'!$L$3,'Base de dados'!$L$1,L36&lt;='Base de dados'!$M$3,'Base de dados'!$M$1,L36&gt;='Base de dados'!$N$2,'Base de dados'!$N$1)</f>
        <v/>
      </c>
      <c r="O36" s="36">
        <v>93</v>
      </c>
      <c r="P36" s="51" t="str">
        <f>IFERROR(AVERAGE(Tabela2[93]),"")</f>
        <v/>
      </c>
      <c r="Q36" s="29">
        <f>VLOOKUP(O36,'Base de dados'!$A$1:$F$104,MATCH($D$7,'Base de dados'!$A$1:$F$1,0),)</f>
        <v>1718</v>
      </c>
      <c r="R36" s="52" t="str">
        <f>IFERROR((COUNT(Tabela2[93])-SUM(AVES!CY$7:CY$8))/COUNT(Tabela2[93]),"")</f>
        <v/>
      </c>
      <c r="S36" s="57" t="str">
        <f>IFERROR(AVERAGE(Tabela22[Sem 93]),"")</f>
        <v/>
      </c>
      <c r="T36" s="29">
        <f>VLOOKUP(O36,'Base de dados'!$A$1:$J$104,MATCH($E$7,'Base de dados'!$A$1:$J$1,0),0)</f>
        <v>64.2</v>
      </c>
      <c r="U36" s="29" t="str" cm="1">
        <f t="array" ref="U36">_xlfn.IFS(S36="","",S36&lt;='Base de dados'!$K$2,'Base de dados'!$K$1,S36&lt;='Base de dados'!$L$3,'Base de dados'!$L$1,S36&lt;='Base de dados'!$M$3,'Base de dados'!$M$1,S36&gt;='Base de dados'!$N$2,'Base de dados'!$N$1)</f>
        <v/>
      </c>
    </row>
    <row r="37" spans="1:21" x14ac:dyDescent="0.25">
      <c r="A37" s="36">
        <v>24</v>
      </c>
      <c r="B37" s="49" t="str">
        <f>IFERROR(AVERAGE(Tabela2[24]),"")</f>
        <v/>
      </c>
      <c r="C37" s="30">
        <f>VLOOKUP(A37,'Base de dados'!$A$1:$F$104,MATCH($D$7,'Base de dados'!$A$1:$F$1,0),)</f>
        <v>1540</v>
      </c>
      <c r="D37" s="50" t="str">
        <f>IFERROR((COUNT(Tabela2[24])-SUM(AVES!AH$7:AH$8))/COUNT(Tabela2[24]),"")</f>
        <v/>
      </c>
      <c r="E37" s="56" t="str">
        <f>IFERROR(AVERAGE(Tabela22[Sem 24]),"")</f>
        <v/>
      </c>
      <c r="F37" s="30">
        <f>VLOOKUP(A37,'Base de dados'!$A$1:$J$104,MATCH($E$7,'Base de dados'!$A$1:$J$1,0),0)</f>
        <v>52.6</v>
      </c>
      <c r="G37" s="30" t="str" cm="1">
        <f t="array" ref="G37">_xlfn.IFS(E37="","",E37&lt;='Base de dados'!$K$2,'Base de dados'!$K$1,E37&lt;='Base de dados'!$L$3,'Base de dados'!$L$1,E37&lt;='Base de dados'!$M$3,'Base de dados'!$M$1,E37&gt;='Base de dados'!$N$2,'Base de dados'!$N$1)</f>
        <v/>
      </c>
      <c r="H37" s="36">
        <v>59</v>
      </c>
      <c r="I37" s="49" t="str">
        <f>IFERROR(AVERAGE(Tabela2[59]),"")</f>
        <v/>
      </c>
      <c r="J37" s="30">
        <f>VLOOKUP(H37,'Base de dados'!$A$1:$F$104,MATCH($D$7,'Base de dados'!$A$1:$F$1,0),)</f>
        <v>1664</v>
      </c>
      <c r="K37" s="50" t="str">
        <f>IFERROR((COUNT(Tabela2[59])-SUM(AVES!BQ$7:BQ$8))/COUNT(Tabela2[59]),"")</f>
        <v/>
      </c>
      <c r="L37" s="56" t="str">
        <f>IFERROR(AVERAGE(Tabela22[Sem 59]),"")</f>
        <v/>
      </c>
      <c r="M37" s="30">
        <f>VLOOKUP(H37,'Base de dados'!$A$1:$J$104,MATCH($E$7,'Base de dados'!$A$1:$J$1,0),0)</f>
        <v>63.1</v>
      </c>
      <c r="N37" s="30" t="str" cm="1">
        <f t="array" ref="N37">_xlfn.IFS(L37="","",L37&lt;='Base de dados'!$K$2,'Base de dados'!$K$1,L37&lt;='Base de dados'!$L$3,'Base de dados'!$L$1,L37&lt;='Base de dados'!$M$3,'Base de dados'!$M$1,L37&gt;='Base de dados'!$N$2,'Base de dados'!$N$1)</f>
        <v/>
      </c>
      <c r="O37" s="36">
        <v>94</v>
      </c>
      <c r="P37" s="49" t="str">
        <f>IFERROR(AVERAGE(Tabela2[94]),"")</f>
        <v/>
      </c>
      <c r="Q37" s="30">
        <f>VLOOKUP(O37,'Base de dados'!$A$1:$F$104,MATCH($D$7,'Base de dados'!$A$1:$F$1,0),)</f>
        <v>1719</v>
      </c>
      <c r="R37" s="50" t="str">
        <f>IFERROR((COUNT(Tabela2[94])-SUM(AVES!CZ$7:CZ$8))/COUNT(Tabela2[94]),"")</f>
        <v/>
      </c>
      <c r="S37" s="56" t="str">
        <f>IFERROR(AVERAGE(Tabela22[Sem 94]),"")</f>
        <v/>
      </c>
      <c r="T37" s="30">
        <f>VLOOKUP(O37,'Base de dados'!$A$1:$J$104,MATCH($E$7,'Base de dados'!$A$1:$J$1,0),0)</f>
        <v>64.2</v>
      </c>
      <c r="U37" s="30" t="str" cm="1">
        <f t="array" ref="U37">_xlfn.IFS(S37="","",S37&lt;='Base de dados'!$K$2,'Base de dados'!$K$1,S37&lt;='Base de dados'!$L$3,'Base de dados'!$L$1,S37&lt;='Base de dados'!$M$3,'Base de dados'!$M$1,S37&gt;='Base de dados'!$N$2,'Base de dados'!$N$1)</f>
        <v/>
      </c>
    </row>
    <row r="38" spans="1:21" x14ac:dyDescent="0.25">
      <c r="A38" s="36">
        <v>25</v>
      </c>
      <c r="B38" s="51" t="str">
        <f>IFERROR(AVERAGE(Tabela2[25]),"")</f>
        <v/>
      </c>
      <c r="C38" s="29">
        <f>VLOOKUP(A38,'Base de dados'!$A$1:$F$104,MATCH($D$7,'Base de dados'!$A$1:$F$1,0),)</f>
        <v>1559</v>
      </c>
      <c r="D38" s="52" t="str">
        <f>IFERROR((COUNT(Tabela2[25])-SUM(AVES!AI$7:AI$8))/COUNT(Tabela2[25]),"")</f>
        <v/>
      </c>
      <c r="E38" s="57" t="str">
        <f>IFERROR(AVERAGE(Tabela22[Sem 25]),"")</f>
        <v/>
      </c>
      <c r="F38" s="29">
        <f>VLOOKUP(A38,'Base de dados'!$A$1:$J$104,MATCH($E$7,'Base de dados'!$A$1:$J$1,0),0)</f>
        <v>54.2</v>
      </c>
      <c r="G38" s="29" t="str" cm="1">
        <f t="array" ref="G38">_xlfn.IFS(E38="","",E38&lt;='Base de dados'!$K$2,'Base de dados'!$K$1,E38&lt;='Base de dados'!$L$3,'Base de dados'!$L$1,E38&lt;='Base de dados'!$M$3,'Base de dados'!$M$1,E38&gt;='Base de dados'!$N$2,'Base de dados'!$N$1)</f>
        <v/>
      </c>
      <c r="H38" s="36">
        <v>60</v>
      </c>
      <c r="I38" s="51" t="str">
        <f>IFERROR(AVERAGE(Tabela2[60]),"")</f>
        <v/>
      </c>
      <c r="J38" s="29">
        <f>VLOOKUP(H38,'Base de dados'!$A$1:$F$104,MATCH($D$7,'Base de dados'!$A$1:$F$1,0),)</f>
        <v>1666</v>
      </c>
      <c r="K38" s="52" t="str">
        <f>IFERROR((COUNT(Tabela2[60])-SUM(AVES!BR$7:BR$8))/COUNT(Tabela2[60]),"")</f>
        <v/>
      </c>
      <c r="L38" s="57" t="str">
        <f>IFERROR(AVERAGE(Tabela22[Sem 60]),"")</f>
        <v/>
      </c>
      <c r="M38" s="29">
        <f>VLOOKUP(H38,'Base de dados'!$A$1:$J$104,MATCH($E$7,'Base de dados'!$A$1:$J$1,0),0)</f>
        <v>63.2</v>
      </c>
      <c r="N38" s="29" t="str" cm="1">
        <f t="array" ref="N38">_xlfn.IFS(L38="","",L38&lt;='Base de dados'!$K$2,'Base de dados'!$K$1,L38&lt;='Base de dados'!$L$3,'Base de dados'!$L$1,L38&lt;='Base de dados'!$M$3,'Base de dados'!$M$1,L38&gt;='Base de dados'!$N$2,'Base de dados'!$N$1)</f>
        <v/>
      </c>
      <c r="O38" s="36">
        <v>95</v>
      </c>
      <c r="P38" s="51" t="str">
        <f>IFERROR(AVERAGE(Tabela2[95]),"")</f>
        <v/>
      </c>
      <c r="Q38" s="29">
        <f>VLOOKUP(O38,'Base de dados'!$A$1:$F$104,MATCH($D$7,'Base de dados'!$A$1:$F$1,0),)</f>
        <v>1720</v>
      </c>
      <c r="R38" s="52" t="str">
        <f>IFERROR((COUNT(Tabela2[95])-SUM(AVES!DA$7:DA$8))/COUNT(Tabela2[95]),"")</f>
        <v/>
      </c>
      <c r="S38" s="57" t="str">
        <f>IFERROR(AVERAGE(Tabela22[Sem 95]),"")</f>
        <v/>
      </c>
      <c r="T38" s="29">
        <f>VLOOKUP(O38,'Base de dados'!$A$1:$J$104,MATCH($E$7,'Base de dados'!$A$1:$J$1,0),0)</f>
        <v>64.2</v>
      </c>
      <c r="U38" s="29" t="str" cm="1">
        <f t="array" ref="U38">_xlfn.IFS(S38="","",S38&lt;='Base de dados'!$K$2,'Base de dados'!$K$1,S38&lt;='Base de dados'!$L$3,'Base de dados'!$L$1,S38&lt;='Base de dados'!$M$3,'Base de dados'!$M$1,S38&gt;='Base de dados'!$N$2,'Base de dados'!$N$1)</f>
        <v/>
      </c>
    </row>
    <row r="39" spans="1:21" x14ac:dyDescent="0.25">
      <c r="A39" s="36">
        <v>26</v>
      </c>
      <c r="B39" s="49" t="str">
        <f>IFERROR(AVERAGE(Tabela2[26]),"")</f>
        <v/>
      </c>
      <c r="C39" s="30">
        <f>VLOOKUP(A39,'Base de dados'!$A$1:$F$104,MATCH($D$7,'Base de dados'!$A$1:$F$1,0),)</f>
        <v>1574</v>
      </c>
      <c r="D39" s="50" t="str">
        <f>IFERROR((COUNT(Tabela2[26])-SUM(AVES!AJ$7:AJ$8))/COUNT(Tabela2[26]),"")</f>
        <v/>
      </c>
      <c r="E39" s="56" t="str">
        <f>IFERROR(AVERAGE(Tabela22[Sem 26]),"")</f>
        <v/>
      </c>
      <c r="F39" s="30">
        <f>VLOOKUP(A39,'Base de dados'!$A$1:$J$104,MATCH($E$7,'Base de dados'!$A$1:$J$1,0),0)</f>
        <v>55.4</v>
      </c>
      <c r="G39" s="30" t="str" cm="1">
        <f t="array" ref="G39">_xlfn.IFS(E39="","",E39&lt;='Base de dados'!$K$2,'Base de dados'!$K$1,E39&lt;='Base de dados'!$L$3,'Base de dados'!$L$1,E39&lt;='Base de dados'!$M$3,'Base de dados'!$M$1,E39&gt;='Base de dados'!$N$2,'Base de dados'!$N$1)</f>
        <v/>
      </c>
      <c r="H39" s="36">
        <v>61</v>
      </c>
      <c r="I39" s="49" t="str">
        <f>IFERROR(AVERAGE(Tabela2[61]),"")</f>
        <v/>
      </c>
      <c r="J39" s="30">
        <f>VLOOKUP(H39,'Base de dados'!$A$1:$F$104,MATCH($D$7,'Base de dados'!$A$1:$F$1,0),)</f>
        <v>1668</v>
      </c>
      <c r="K39" s="50" t="str">
        <f>IFERROR((COUNT(Tabela2[61])-SUM(AVES!BS$7:BS$8))/COUNT(Tabela2[61]),"")</f>
        <v/>
      </c>
      <c r="L39" s="56" t="str">
        <f>IFERROR(AVERAGE(Tabela22[Sem 61]),"")</f>
        <v/>
      </c>
      <c r="M39" s="30">
        <f>VLOOKUP(H39,'Base de dados'!$A$1:$J$104,MATCH($E$7,'Base de dados'!$A$1:$J$1,0),0)</f>
        <v>63.3</v>
      </c>
      <c r="N39" s="30" t="str" cm="1">
        <f t="array" ref="N39">_xlfn.IFS(L39="","",L39&lt;='Base de dados'!$K$2,'Base de dados'!$K$1,L39&lt;='Base de dados'!$L$3,'Base de dados'!$L$1,L39&lt;='Base de dados'!$M$3,'Base de dados'!$M$1,L39&gt;='Base de dados'!$N$2,'Base de dados'!$N$1)</f>
        <v/>
      </c>
      <c r="O39" s="36">
        <v>96</v>
      </c>
      <c r="P39" s="49" t="str">
        <f>IFERROR(AVERAGE(Tabela2[96]),"")</f>
        <v/>
      </c>
      <c r="Q39" s="30">
        <f>VLOOKUP(O39,'Base de dados'!$A$1:$F$104,MATCH($D$7,'Base de dados'!$A$1:$F$1,0),)</f>
        <v>1721</v>
      </c>
      <c r="R39" s="50" t="str">
        <f>IFERROR((COUNT(Tabela2[96])-SUM(AVES!DB$7:DB$8))/COUNT(Tabela2[96]),"")</f>
        <v/>
      </c>
      <c r="S39" s="56" t="str">
        <f>IFERROR(AVERAGE(Tabela22[Sem 96]),"")</f>
        <v/>
      </c>
      <c r="T39" s="30">
        <f>VLOOKUP(O39,'Base de dados'!$A$1:$J$104,MATCH($E$7,'Base de dados'!$A$1:$J$1,0),0)</f>
        <v>64.2</v>
      </c>
      <c r="U39" s="30" t="str" cm="1">
        <f t="array" ref="U39">_xlfn.IFS(S39="","",S39&lt;='Base de dados'!$K$2,'Base de dados'!$K$1,S39&lt;='Base de dados'!$L$3,'Base de dados'!$L$1,S39&lt;='Base de dados'!$M$3,'Base de dados'!$M$1,S39&gt;='Base de dados'!$N$2,'Base de dados'!$N$1)</f>
        <v/>
      </c>
    </row>
    <row r="40" spans="1:21" x14ac:dyDescent="0.25">
      <c r="A40" s="36">
        <v>27</v>
      </c>
      <c r="B40" s="51" t="str">
        <f>IFERROR(AVERAGE(Tabela2[27]),"")</f>
        <v/>
      </c>
      <c r="C40" s="29">
        <f>VLOOKUP(A40,'Base de dados'!$A$1:$F$104,MATCH($D$7,'Base de dados'!$A$1:$F$1,0),)</f>
        <v>1584</v>
      </c>
      <c r="D40" s="52" t="str">
        <f>IFERROR((COUNT(Tabela2[27])-SUM(AVES!AK$7:AK$8))/COUNT(Tabela2[27]),"")</f>
        <v/>
      </c>
      <c r="E40" s="57" t="str">
        <f>IFERROR(AVERAGE(Tabela22[Sem 27]),"")</f>
        <v/>
      </c>
      <c r="F40" s="29">
        <f>VLOOKUP(A40,'Base de dados'!$A$1:$J$104,MATCH($E$7,'Base de dados'!$A$1:$J$1,0),0)</f>
        <v>56.4</v>
      </c>
      <c r="G40" s="29" t="str" cm="1">
        <f t="array" ref="G40">_xlfn.IFS(E40="","",E40&lt;='Base de dados'!$K$2,'Base de dados'!$K$1,E40&lt;='Base de dados'!$L$3,'Base de dados'!$L$1,E40&lt;='Base de dados'!$M$3,'Base de dados'!$M$1,E40&gt;='Base de dados'!$N$2,'Base de dados'!$N$1)</f>
        <v/>
      </c>
      <c r="H40" s="36">
        <v>62</v>
      </c>
      <c r="I40" s="51" t="str">
        <f>IFERROR(AVERAGE(Tabela2[62]),"")</f>
        <v/>
      </c>
      <c r="J40" s="29">
        <f>VLOOKUP(H40,'Base de dados'!$A$1:$F$104,MATCH($D$7,'Base de dados'!$A$1:$F$1,0),)</f>
        <v>1670</v>
      </c>
      <c r="K40" s="52" t="str">
        <f>IFERROR((COUNT(Tabela2[62])-SUM(AVES!BT$7:BT$8))/COUNT(Tabela2[62]),"")</f>
        <v/>
      </c>
      <c r="L40" s="57" t="str">
        <f>IFERROR(AVERAGE(Tabela22[Sem 62]),"")</f>
        <v/>
      </c>
      <c r="M40" s="29">
        <f>VLOOKUP(H40,'Base de dados'!$A$1:$J$104,MATCH($E$7,'Base de dados'!$A$1:$J$1,0),0)</f>
        <v>63.4</v>
      </c>
      <c r="N40" s="29" t="str" cm="1">
        <f t="array" ref="N40">_xlfn.IFS(L40="","",L40&lt;='Base de dados'!$K$2,'Base de dados'!$K$1,L40&lt;='Base de dados'!$L$3,'Base de dados'!$L$1,L40&lt;='Base de dados'!$M$3,'Base de dados'!$M$1,L40&gt;='Base de dados'!$N$2,'Base de dados'!$N$1)</f>
        <v/>
      </c>
      <c r="O40" s="36">
        <v>97</v>
      </c>
      <c r="P40" s="51" t="str">
        <f>IFERROR(AVERAGE(Tabela2[97]),"")</f>
        <v/>
      </c>
      <c r="Q40" s="29">
        <f>VLOOKUP(O40,'Base de dados'!$A$1:$F$104,MATCH($D$7,'Base de dados'!$A$1:$F$1,0),)</f>
        <v>1722</v>
      </c>
      <c r="R40" s="52" t="str">
        <f>IFERROR((COUNT(Tabela2[97])-SUM(AVES!DC$7:DC$8))/COUNT(Tabela2[97]),"")</f>
        <v/>
      </c>
      <c r="S40" s="57" t="str">
        <f>IFERROR(AVERAGE(Tabela22[Sem 97]),"")</f>
        <v/>
      </c>
      <c r="T40" s="29">
        <f>VLOOKUP(O40,'Base de dados'!$A$1:$J$104,MATCH($E$7,'Base de dados'!$A$1:$J$1,0),0)</f>
        <v>64.2</v>
      </c>
      <c r="U40" s="29" t="str" cm="1">
        <f t="array" ref="U40">_xlfn.IFS(S40="","",S40&lt;='Base de dados'!$K$2,'Base de dados'!$K$1,S40&lt;='Base de dados'!$L$3,'Base de dados'!$L$1,S40&lt;='Base de dados'!$M$3,'Base de dados'!$M$1,S40&gt;='Base de dados'!$N$2,'Base de dados'!$N$1)</f>
        <v/>
      </c>
    </row>
    <row r="41" spans="1:21" x14ac:dyDescent="0.25">
      <c r="A41" s="36">
        <v>28</v>
      </c>
      <c r="B41" s="49" t="str">
        <f>IFERROR(AVERAGE(Tabela2[28]),"")</f>
        <v/>
      </c>
      <c r="C41" s="30">
        <f>VLOOKUP(A41,'Base de dados'!$A$1:$F$104,MATCH($D$7,'Base de dados'!$A$1:$F$1,0),)</f>
        <v>1590</v>
      </c>
      <c r="D41" s="50" t="str">
        <f>IFERROR((COUNT(Tabela2[28])-SUM(AVES!AL$7:AL$8))/COUNT(Tabela2[28]),"")</f>
        <v/>
      </c>
      <c r="E41" s="56" t="str">
        <f>IFERROR(AVERAGE(Tabela22[Sem 28]),"")</f>
        <v/>
      </c>
      <c r="F41" s="30">
        <f>VLOOKUP(A41,'Base de dados'!$A$1:$J$104,MATCH($E$7,'Base de dados'!$A$1:$J$1,0),0)</f>
        <v>57.1</v>
      </c>
      <c r="G41" s="30" t="str" cm="1">
        <f t="array" ref="G41">_xlfn.IFS(E41="","",E41&lt;='Base de dados'!$K$2,'Base de dados'!$K$1,E41&lt;='Base de dados'!$L$3,'Base de dados'!$L$1,E41&lt;='Base de dados'!$M$3,'Base de dados'!$M$1,E41&gt;='Base de dados'!$N$2,'Base de dados'!$N$1)</f>
        <v/>
      </c>
      <c r="H41" s="36">
        <v>63</v>
      </c>
      <c r="I41" s="49" t="str">
        <f>IFERROR(AVERAGE(Tabela2[63]),"")</f>
        <v/>
      </c>
      <c r="J41" s="30">
        <f>VLOOKUP(H41,'Base de dados'!$A$1:$F$104,MATCH($D$7,'Base de dados'!$A$1:$F$1,0),)</f>
        <v>1672</v>
      </c>
      <c r="K41" s="50" t="str">
        <f>IFERROR((COUNT(Tabela2[63])-SUM(AVES!BU$7:BU$8))/COUNT(Tabela2[63]),"")</f>
        <v/>
      </c>
      <c r="L41" s="56" t="str">
        <f>IFERROR(AVERAGE(Tabela22[Sem 63]),"")</f>
        <v/>
      </c>
      <c r="M41" s="30">
        <f>VLOOKUP(H41,'Base de dados'!$A$1:$J$104,MATCH($E$7,'Base de dados'!$A$1:$J$1,0),0)</f>
        <v>63.4</v>
      </c>
      <c r="N41" s="30" t="str" cm="1">
        <f t="array" ref="N41">_xlfn.IFS(L41="","",L41&lt;='Base de dados'!$K$2,'Base de dados'!$K$1,L41&lt;='Base de dados'!$L$3,'Base de dados'!$L$1,L41&lt;='Base de dados'!$M$3,'Base de dados'!$M$1,L41&gt;='Base de dados'!$N$2,'Base de dados'!$N$1)</f>
        <v/>
      </c>
      <c r="O41" s="36">
        <v>98</v>
      </c>
      <c r="P41" s="49" t="str">
        <f>IFERROR(AVERAGE(Tabela2[98]),"")</f>
        <v/>
      </c>
      <c r="Q41" s="30">
        <f>VLOOKUP(O41,'Base de dados'!$A$1:$F$104,MATCH($D$7,'Base de dados'!$A$1:$F$1,0),)</f>
        <v>1723</v>
      </c>
      <c r="R41" s="50" t="str">
        <f>IFERROR((COUNT(Tabela2[98])-SUM(AVES!DD$7:DD$8))/COUNT(Tabela2[98]),"")</f>
        <v/>
      </c>
      <c r="S41" s="56" t="str">
        <f>IFERROR(AVERAGE(Tabela22[Sem 98]),"")</f>
        <v/>
      </c>
      <c r="T41" s="30">
        <f>VLOOKUP(O41,'Base de dados'!$A$1:$J$104,MATCH($E$7,'Base de dados'!$A$1:$J$1,0),0)</f>
        <v>64.2</v>
      </c>
      <c r="U41" s="30" t="str" cm="1">
        <f t="array" ref="U41">_xlfn.IFS(S41="","",S41&lt;='Base de dados'!$K$2,'Base de dados'!$K$1,S41&lt;='Base de dados'!$L$3,'Base de dados'!$L$1,S41&lt;='Base de dados'!$M$3,'Base de dados'!$M$1,S41&gt;='Base de dados'!$N$2,'Base de dados'!$N$1)</f>
        <v/>
      </c>
    </row>
    <row r="42" spans="1:21" x14ac:dyDescent="0.25">
      <c r="A42" s="36">
        <v>29</v>
      </c>
      <c r="B42" s="51" t="str">
        <f>IFERROR(AVERAGE(Tabela2[29]),"")</f>
        <v/>
      </c>
      <c r="C42" s="29">
        <f>VLOOKUP(A42,'Base de dados'!$A$1:$F$104,MATCH($D$7,'Base de dados'!$A$1:$F$1,0),)</f>
        <v>1594</v>
      </c>
      <c r="D42" s="52" t="str">
        <f>IFERROR((COUNT(Tabela2[29])-SUM(AVES!AM$7:AM$8))/COUNT(Tabela2[29]),"")</f>
        <v/>
      </c>
      <c r="E42" s="57" t="str">
        <f>IFERROR(AVERAGE(Tabela22[Sem 29]),"")</f>
        <v/>
      </c>
      <c r="F42" s="29">
        <f>VLOOKUP(A42,'Base de dados'!$A$1:$J$104,MATCH($E$7,'Base de dados'!$A$1:$J$1,0),0)</f>
        <v>57.7</v>
      </c>
      <c r="G42" s="29" t="str" cm="1">
        <f t="array" ref="G42">_xlfn.IFS(E42="","",E42&lt;='Base de dados'!$K$2,'Base de dados'!$K$1,E42&lt;='Base de dados'!$L$3,'Base de dados'!$L$1,E42&lt;='Base de dados'!$M$3,'Base de dados'!$M$1,E42&gt;='Base de dados'!$N$2,'Base de dados'!$N$1)</f>
        <v/>
      </c>
      <c r="H42" s="36">
        <v>64</v>
      </c>
      <c r="I42" s="51" t="str">
        <f>IFERROR(AVERAGE(Tabela2[64]),"")</f>
        <v/>
      </c>
      <c r="J42" s="29">
        <f>VLOOKUP(H42,'Base de dados'!$A$1:$F$104,MATCH($D$7,'Base de dados'!$A$1:$F$1,0),)</f>
        <v>1674</v>
      </c>
      <c r="K42" s="52" t="str">
        <f>IFERROR((COUNT(Tabela2[64])-SUM(AVES!BV$7:BV$8))/COUNT(Tabela2[64]),"")</f>
        <v/>
      </c>
      <c r="L42" s="57" t="str">
        <f>IFERROR(AVERAGE(Tabela22[Sem 64]),"")</f>
        <v/>
      </c>
      <c r="M42" s="29">
        <f>VLOOKUP(H42,'Base de dados'!$A$1:$J$104,MATCH($E$7,'Base de dados'!$A$1:$J$1,0),0)</f>
        <v>63.5</v>
      </c>
      <c r="N42" s="29" t="str" cm="1">
        <f t="array" ref="N42">_xlfn.IFS(L42="","",L42&lt;='Base de dados'!$K$2,'Base de dados'!$K$1,L42&lt;='Base de dados'!$L$3,'Base de dados'!$L$1,L42&lt;='Base de dados'!$M$3,'Base de dados'!$M$1,L42&gt;='Base de dados'!$N$2,'Base de dados'!$N$1)</f>
        <v/>
      </c>
      <c r="O42" s="36">
        <v>99</v>
      </c>
      <c r="P42" s="51" t="str">
        <f>IFERROR(AVERAGE(Tabela2[99]),"")</f>
        <v/>
      </c>
      <c r="Q42" s="29">
        <f>VLOOKUP(O42,'Base de dados'!$A$1:$F$104,MATCH($D$7,'Base de dados'!$A$1:$F$1,0),)</f>
        <v>1724</v>
      </c>
      <c r="R42" s="52" t="str">
        <f>IFERROR((COUNT(Tabela2[99])-SUM(AVES!DE$7:DE$8))/COUNT(Tabela2[99]),"")</f>
        <v/>
      </c>
      <c r="S42" s="57" t="str">
        <f>IFERROR(AVERAGE(Tabela22[Sem 99]),"")</f>
        <v/>
      </c>
      <c r="T42" s="29">
        <f>VLOOKUP(O42,'Base de dados'!$A$1:$J$104,MATCH($E$7,'Base de dados'!$A$1:$J$1,0),0)</f>
        <v>64.2</v>
      </c>
      <c r="U42" s="29" t="str" cm="1">
        <f t="array" ref="U42">_xlfn.IFS(S42="","",S42&lt;='Base de dados'!$K$2,'Base de dados'!$K$1,S42&lt;='Base de dados'!$L$3,'Base de dados'!$L$1,S42&lt;='Base de dados'!$M$3,'Base de dados'!$M$1,S42&gt;='Base de dados'!$N$2,'Base de dados'!$N$1)</f>
        <v/>
      </c>
    </row>
    <row r="43" spans="1:21" x14ac:dyDescent="0.25">
      <c r="A43" s="36">
        <v>30</v>
      </c>
      <c r="B43" s="49" t="str">
        <f>IFERROR(AVERAGE(Tabela2[30]),"")</f>
        <v/>
      </c>
      <c r="C43" s="30">
        <f>VLOOKUP(A43,'Base de dados'!$A$1:$F$104,MATCH($D$7,'Base de dados'!$A$1:$F$1,0),)</f>
        <v>1597</v>
      </c>
      <c r="D43" s="50" t="str">
        <f>IFERROR((COUNT(Tabela2[30])-SUM(AVES!AN$7:AN$8))/COUNT(Tabela2[30]),"")</f>
        <v/>
      </c>
      <c r="E43" s="56" t="str">
        <f>IFERROR(AVERAGE(Tabela22[Sem 30]),"")</f>
        <v/>
      </c>
      <c r="F43" s="30">
        <f>VLOOKUP(A43,'Base de dados'!$A$1:$J$104,MATCH($E$7,'Base de dados'!$A$1:$J$1,0),0)</f>
        <v>58.2</v>
      </c>
      <c r="G43" s="30" t="str" cm="1">
        <f t="array" ref="G43">_xlfn.IFS(E43="","",E43&lt;='Base de dados'!$K$2,'Base de dados'!$K$1,E43&lt;='Base de dados'!$L$3,'Base de dados'!$L$1,E43&lt;='Base de dados'!$M$3,'Base de dados'!$M$1,E43&gt;='Base de dados'!$N$2,'Base de dados'!$N$1)</f>
        <v/>
      </c>
      <c r="H43" s="36">
        <v>65</v>
      </c>
      <c r="I43" s="49" t="str">
        <f>IFERROR(AVERAGE(Tabela2[65]),"")</f>
        <v/>
      </c>
      <c r="J43" s="30">
        <f>VLOOKUP(H43,'Base de dados'!$A$1:$F$104,MATCH($D$7,'Base de dados'!$A$1:$F$1,0),)</f>
        <v>1676</v>
      </c>
      <c r="K43" s="50" t="str">
        <f>IFERROR((COUNT(Tabela2[65])-SUM(AVES!BW$7:BW$8))/COUNT(Tabela2[65]),"")</f>
        <v/>
      </c>
      <c r="L43" s="56" t="str">
        <f>IFERROR(AVERAGE(Tabela22[Sem 65]),"")</f>
        <v/>
      </c>
      <c r="M43" s="30">
        <f>VLOOKUP(H43,'Base de dados'!$A$1:$J$104,MATCH($E$7,'Base de dados'!$A$1:$J$1,0),0)</f>
        <v>63.6</v>
      </c>
      <c r="N43" s="30" t="str" cm="1">
        <f t="array" ref="N43">_xlfn.IFS(L43="","",L43&lt;='Base de dados'!$K$2,'Base de dados'!$K$1,L43&lt;='Base de dados'!$L$3,'Base de dados'!$L$1,L43&lt;='Base de dados'!$M$3,'Base de dados'!$M$1,L43&gt;='Base de dados'!$N$2,'Base de dados'!$N$1)</f>
        <v/>
      </c>
      <c r="O43" s="46">
        <v>100</v>
      </c>
      <c r="P43" s="49" t="str">
        <f>IFERROR(AVERAGE(Tabela2[100]),"")</f>
        <v/>
      </c>
      <c r="Q43" s="30">
        <f>VLOOKUP(O43,'Base de dados'!$A$1:$F$104,MATCH($D$7,'Base de dados'!$A$1:$F$1,0),)</f>
        <v>1725</v>
      </c>
      <c r="R43" s="50" t="str">
        <f>IFERROR((COUNT(Tabela2[100])-SUM(AVES!DF$7:DF$8))/COUNT(Tabela2[100]),"")</f>
        <v/>
      </c>
      <c r="S43" s="56" t="str">
        <f>IFERROR(AVERAGE(Tabela22[Sem 100]),"")</f>
        <v/>
      </c>
      <c r="T43" s="30">
        <f>VLOOKUP(O43,'Base de dados'!$A$1:$J$104,MATCH($E$7,'Base de dados'!$A$1:$J$1,0),0)</f>
        <v>64.2</v>
      </c>
      <c r="U43" s="30" t="str" cm="1">
        <f t="array" ref="U43">_xlfn.IFS(S43="","",S43&lt;='Base de dados'!$K$2,'Base de dados'!$K$1,S43&lt;='Base de dados'!$L$3,'Base de dados'!$L$1,S43&lt;='Base de dados'!$M$3,'Base de dados'!$M$1,S43&gt;='Base de dados'!$N$2,'Base de dados'!$N$1)</f>
        <v/>
      </c>
    </row>
    <row r="44" spans="1:21" x14ac:dyDescent="0.25">
      <c r="A44" s="36">
        <v>31</v>
      </c>
      <c r="B44" s="51" t="str">
        <f>IFERROR(AVERAGE(Tabela2[31]),"")</f>
        <v/>
      </c>
      <c r="C44" s="29">
        <f>VLOOKUP(A44,'Base de dados'!$A$1:$F$104,MATCH($D$7,'Base de dados'!$A$1:$F$1,0),)</f>
        <v>1600</v>
      </c>
      <c r="D44" s="52" t="str">
        <f>IFERROR((COUNT(Tabela2[31])-SUM(AVES!AO$7:AO$8))/COUNT(Tabela2[31]),"")</f>
        <v/>
      </c>
      <c r="E44" s="57" t="str">
        <f>IFERROR(AVERAGE(Tabela22[Sem 31]),"")</f>
        <v/>
      </c>
      <c r="F44" s="29">
        <f>VLOOKUP(A44,'Base de dados'!$A$1:$J$104,MATCH($E$7,'Base de dados'!$A$1:$J$1,0),0)</f>
        <v>58.7</v>
      </c>
      <c r="G44" s="29" t="str" cm="1">
        <f t="array" ref="G44">_xlfn.IFS(E44="","",E44&lt;='Base de dados'!$K$2,'Base de dados'!$K$1,E44&lt;='Base de dados'!$L$3,'Base de dados'!$L$1,E44&lt;='Base de dados'!$M$3,'Base de dados'!$M$1,E44&gt;='Base de dados'!$N$2,'Base de dados'!$N$1)</f>
        <v/>
      </c>
      <c r="H44" s="36">
        <v>66</v>
      </c>
      <c r="I44" s="51" t="str">
        <f>IFERROR(AVERAGE(Tabela2[66]),"")</f>
        <v/>
      </c>
      <c r="J44" s="29">
        <f>VLOOKUP(H44,'Base de dados'!$A$1:$F$104,MATCH($D$7,'Base de dados'!$A$1:$F$1,0),)</f>
        <v>1678</v>
      </c>
      <c r="K44" s="52" t="str">
        <f>IFERROR((COUNT(Tabela2[66])-SUM(AVES!BX$7:BX$8))/COUNT(Tabela2[66]),"")</f>
        <v/>
      </c>
      <c r="L44" s="57" t="str">
        <f>IFERROR(AVERAGE(Tabela22[Sem 66]),"")</f>
        <v/>
      </c>
      <c r="M44" s="29">
        <f>VLOOKUP(H44,'Base de dados'!$A$1:$J$104,MATCH($E$7,'Base de dados'!$A$1:$J$1,0),0)</f>
        <v>63.6</v>
      </c>
      <c r="N44" s="29" t="str" cm="1">
        <f t="array" ref="N44">_xlfn.IFS(L44="","",L44&lt;='Base de dados'!$K$2,'Base de dados'!$K$1,L44&lt;='Base de dados'!$L$3,'Base de dados'!$L$1,L44&lt;='Base de dados'!$M$3,'Base de dados'!$M$1,L44&gt;='Base de dados'!$N$2,'Base de dados'!$N$1)</f>
        <v/>
      </c>
      <c r="O44" s="28"/>
      <c r="P44" s="28"/>
      <c r="Q44" s="28"/>
      <c r="R44" s="28"/>
      <c r="S44" s="28"/>
      <c r="T44" s="28"/>
      <c r="U44" s="28"/>
    </row>
    <row r="45" spans="1:21" x14ac:dyDescent="0.25">
      <c r="A45" s="36">
        <v>32</v>
      </c>
      <c r="B45" s="49" t="str">
        <f>IFERROR(AVERAGE(Tabela2[32]),"")</f>
        <v/>
      </c>
      <c r="C45" s="30">
        <f>VLOOKUP(A45,'Base de dados'!$A$1:$F$104,MATCH($D$7,'Base de dados'!$A$1:$F$1,0),)</f>
        <v>1603</v>
      </c>
      <c r="D45" s="50" t="str">
        <f>IFERROR((COUNT(Tabela2[32])-SUM(AVES!AP$7:AP$8))/COUNT(Tabela2[32]),"")</f>
        <v/>
      </c>
      <c r="E45" s="56" t="str">
        <f>IFERROR(AVERAGE(Tabela22[Sem 32]),"")</f>
        <v/>
      </c>
      <c r="F45" s="30">
        <f>VLOOKUP(A45,'Base de dados'!$A$1:$J$104,MATCH($E$7,'Base de dados'!$A$1:$J$1,0),0)</f>
        <v>59.1</v>
      </c>
      <c r="G45" s="30" t="str" cm="1">
        <f t="array" ref="G45">_xlfn.IFS(E45="","",E45&lt;='Base de dados'!$K$2,'Base de dados'!$K$1,E45&lt;='Base de dados'!$L$3,'Base de dados'!$L$1,E45&lt;='Base de dados'!$M$3,'Base de dados'!$M$1,E45&gt;='Base de dados'!$N$2,'Base de dados'!$N$1)</f>
        <v/>
      </c>
      <c r="H45" s="36">
        <v>67</v>
      </c>
      <c r="I45" s="49" t="str">
        <f>IFERROR(AVERAGE(Tabela2[67]),"")</f>
        <v/>
      </c>
      <c r="J45" s="30">
        <f>VLOOKUP(H45,'Base de dados'!$A$1:$F$104,MATCH($D$7,'Base de dados'!$A$1:$F$1,0),)</f>
        <v>1680</v>
      </c>
      <c r="K45" s="50" t="str">
        <f>IFERROR((COUNT(Tabela2[67])-SUM(AVES!BY$7:BY$8))/COUNT(Tabela2[67]),"")</f>
        <v/>
      </c>
      <c r="L45" s="56" t="str">
        <f>IFERROR(AVERAGE(Tabela22[Sem 67]),"")</f>
        <v/>
      </c>
      <c r="M45" s="30">
        <f>VLOOKUP(H45,'Base de dados'!$A$1:$J$104,MATCH($E$7,'Base de dados'!$A$1:$J$1,0),0)</f>
        <v>63.7</v>
      </c>
      <c r="N45" s="30" t="str" cm="1">
        <f t="array" ref="N45">_xlfn.IFS(L45="","",L45&lt;='Base de dados'!$K$2,'Base de dados'!$K$1,L45&lt;='Base de dados'!$L$3,'Base de dados'!$L$1,L45&lt;='Base de dados'!$M$3,'Base de dados'!$M$1,L45&gt;='Base de dados'!$N$2,'Base de dados'!$N$1)</f>
        <v/>
      </c>
      <c r="O45" s="28"/>
      <c r="P45" s="28"/>
      <c r="Q45" s="28"/>
      <c r="R45" s="28"/>
      <c r="S45" s="28"/>
      <c r="T45" s="28"/>
      <c r="U45" s="28"/>
    </row>
  </sheetData>
  <sheetProtection algorithmName="SHA-512" hashValue="qxHsot0L07j/3gJ8a/yhYlVWZ56utDhrr8QibktY+Kea0zIQxs2NjaPFiof3jdeccZbOss978v9vcwULsgm4fA==" saltValue="BxWmgiv1M4VmjoR1iUpoqA==" spinCount="100000" sheet="1" objects="1" scenarios="1" selectLockedCells="1"/>
  <mergeCells count="10">
    <mergeCell ref="B5:C5"/>
    <mergeCell ref="B8:C8"/>
    <mergeCell ref="B7:C7"/>
    <mergeCell ref="B4:C4"/>
    <mergeCell ref="C3:E3"/>
    <mergeCell ref="D4:E4"/>
    <mergeCell ref="D5:E5"/>
    <mergeCell ref="D8:E8"/>
    <mergeCell ref="B6:C6"/>
    <mergeCell ref="D6:E6"/>
  </mergeCells>
  <pageMargins left="0.511811024" right="0.511811024" top="0.78740157499999996" bottom="0.78740157499999996" header="0.31496062000000002" footer="0.31496062000000002"/>
  <pageSetup paperSize="9" scale="7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BBFDFB-D1CC-452B-A1B8-665D6D455E9D}">
          <x14:formula1>
            <xm:f>'Base de dados'!$C$1:$F$1</xm:f>
          </x14:formula1>
          <xm:sqref>D6:E6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60DE-4279-485A-8A25-BF36B945D469}">
  <dimension ref="A1:N104"/>
  <sheetViews>
    <sheetView workbookViewId="0">
      <selection activeCell="F8" sqref="F8"/>
    </sheetView>
  </sheetViews>
  <sheetFormatPr defaultRowHeight="15" x14ac:dyDescent="0.25"/>
  <cols>
    <col min="1" max="2" width="9.140625" style="96"/>
    <col min="3" max="3" width="26.7109375" style="96" bestFit="1" customWidth="1"/>
    <col min="4" max="4" width="28.42578125" style="96" bestFit="1" customWidth="1"/>
    <col min="5" max="5" width="15" style="96" bestFit="1" customWidth="1"/>
    <col min="6" max="6" width="18" style="96" bestFit="1" customWidth="1"/>
    <col min="7" max="7" width="23.7109375" style="96" bestFit="1" customWidth="1"/>
    <col min="8" max="9" width="28.42578125" style="96" bestFit="1" customWidth="1"/>
    <col min="10" max="11" width="23.7109375" style="96" bestFit="1" customWidth="1"/>
    <col min="12" max="12" width="28.42578125" style="96" bestFit="1" customWidth="1"/>
    <col min="13" max="13" width="15" style="96" bestFit="1" customWidth="1"/>
    <col min="14" max="14" width="18" style="96" bestFit="1" customWidth="1"/>
    <col min="15" max="16384" width="9.140625" style="96"/>
  </cols>
  <sheetData>
    <row r="1" spans="1:14" x14ac:dyDescent="0.25">
      <c r="B1" s="96" t="s">
        <v>532</v>
      </c>
      <c r="C1" s="17" t="s">
        <v>524</v>
      </c>
      <c r="D1" s="17" t="s">
        <v>530</v>
      </c>
      <c r="E1" s="17" t="s">
        <v>522</v>
      </c>
      <c r="F1" s="17" t="s">
        <v>523</v>
      </c>
      <c r="G1" s="17" t="s">
        <v>527</v>
      </c>
      <c r="H1" s="17" t="s">
        <v>531</v>
      </c>
      <c r="I1" s="17" t="s">
        <v>528</v>
      </c>
      <c r="J1" s="17" t="s">
        <v>529</v>
      </c>
      <c r="K1" s="17" t="s">
        <v>533</v>
      </c>
      <c r="L1" s="17" t="s">
        <v>534</v>
      </c>
      <c r="M1" s="17" t="s">
        <v>535</v>
      </c>
      <c r="N1" s="17" t="s">
        <v>536</v>
      </c>
    </row>
    <row r="2" spans="1:14" x14ac:dyDescent="0.25">
      <c r="A2" s="96" t="s">
        <v>848</v>
      </c>
      <c r="B2" s="96" t="s">
        <v>418</v>
      </c>
      <c r="C2" s="96">
        <v>35</v>
      </c>
      <c r="D2" s="96">
        <v>35</v>
      </c>
      <c r="E2" s="96">
        <v>35</v>
      </c>
      <c r="F2" s="96">
        <v>35</v>
      </c>
      <c r="J2" s="17"/>
      <c r="K2" s="17">
        <v>47.99</v>
      </c>
      <c r="L2" s="17">
        <v>48</v>
      </c>
      <c r="M2" s="96">
        <v>58</v>
      </c>
      <c r="N2" s="17">
        <v>68</v>
      </c>
    </row>
    <row r="3" spans="1:14" x14ac:dyDescent="0.25">
      <c r="A3" s="96" t="s">
        <v>849</v>
      </c>
      <c r="B3" s="96" t="s">
        <v>419</v>
      </c>
      <c r="C3" s="96">
        <v>35</v>
      </c>
      <c r="D3" s="96">
        <v>35</v>
      </c>
      <c r="E3" s="96">
        <v>35</v>
      </c>
      <c r="F3" s="96">
        <v>35</v>
      </c>
      <c r="J3" s="17"/>
      <c r="K3" s="17"/>
      <c r="L3" s="17">
        <v>57.99</v>
      </c>
      <c r="M3" s="96">
        <v>67.989999999999995</v>
      </c>
    </row>
    <row r="4" spans="1:14" x14ac:dyDescent="0.25">
      <c r="A4" s="96" t="s">
        <v>850</v>
      </c>
      <c r="B4" s="96" t="s">
        <v>420</v>
      </c>
      <c r="C4" s="96">
        <v>35</v>
      </c>
      <c r="D4" s="96">
        <v>35</v>
      </c>
      <c r="E4" s="96">
        <v>35</v>
      </c>
      <c r="F4" s="96">
        <v>35</v>
      </c>
      <c r="J4" s="17"/>
      <c r="K4" s="17"/>
      <c r="L4" s="17"/>
    </row>
    <row r="5" spans="1:14" x14ac:dyDescent="0.25">
      <c r="A5" s="96">
        <v>1</v>
      </c>
      <c r="B5" s="96" t="s">
        <v>421</v>
      </c>
      <c r="C5" s="96">
        <v>65</v>
      </c>
      <c r="D5" s="96">
        <v>70</v>
      </c>
      <c r="E5" s="96">
        <v>65</v>
      </c>
      <c r="F5" s="96">
        <v>70</v>
      </c>
      <c r="J5" s="17"/>
      <c r="K5" s="17"/>
      <c r="L5" s="17"/>
    </row>
    <row r="6" spans="1:14" x14ac:dyDescent="0.25">
      <c r="A6" s="96">
        <v>2</v>
      </c>
      <c r="B6" s="96" t="s">
        <v>422</v>
      </c>
      <c r="C6" s="96">
        <v>116</v>
      </c>
      <c r="D6" s="96">
        <v>125</v>
      </c>
      <c r="E6" s="96">
        <v>116</v>
      </c>
      <c r="F6" s="96">
        <v>125</v>
      </c>
    </row>
    <row r="7" spans="1:14" x14ac:dyDescent="0.25">
      <c r="A7" s="96">
        <v>3</v>
      </c>
      <c r="B7" s="96" t="s">
        <v>423</v>
      </c>
      <c r="C7" s="96">
        <v>175</v>
      </c>
      <c r="D7" s="96">
        <v>190</v>
      </c>
      <c r="E7" s="96">
        <v>175</v>
      </c>
      <c r="F7" s="96">
        <v>190</v>
      </c>
    </row>
    <row r="8" spans="1:14" x14ac:dyDescent="0.25">
      <c r="A8" s="96">
        <v>4</v>
      </c>
      <c r="B8" s="96" t="s">
        <v>424</v>
      </c>
      <c r="C8" s="96">
        <v>245</v>
      </c>
      <c r="D8" s="96">
        <v>270</v>
      </c>
      <c r="E8" s="96">
        <v>245</v>
      </c>
      <c r="F8" s="96">
        <v>270</v>
      </c>
    </row>
    <row r="9" spans="1:14" x14ac:dyDescent="0.25">
      <c r="A9" s="96">
        <v>5</v>
      </c>
      <c r="B9" s="96" t="s">
        <v>425</v>
      </c>
      <c r="C9" s="96">
        <v>325</v>
      </c>
      <c r="D9" s="96">
        <v>363</v>
      </c>
      <c r="E9" s="96">
        <v>325</v>
      </c>
      <c r="F9" s="96">
        <v>363</v>
      </c>
    </row>
    <row r="10" spans="1:14" x14ac:dyDescent="0.25">
      <c r="A10" s="96">
        <v>6</v>
      </c>
      <c r="B10" s="96" t="s">
        <v>426</v>
      </c>
      <c r="C10" s="96">
        <v>410</v>
      </c>
      <c r="D10" s="96">
        <v>475</v>
      </c>
      <c r="E10" s="96">
        <v>410</v>
      </c>
      <c r="F10" s="96">
        <v>475</v>
      </c>
    </row>
    <row r="11" spans="1:14" x14ac:dyDescent="0.25">
      <c r="A11" s="96">
        <v>7</v>
      </c>
      <c r="B11" s="96" t="s">
        <v>427</v>
      </c>
      <c r="C11" s="96">
        <v>496</v>
      </c>
      <c r="D11" s="96">
        <v>589</v>
      </c>
      <c r="E11" s="96">
        <v>496</v>
      </c>
      <c r="F11" s="96">
        <v>589</v>
      </c>
    </row>
    <row r="12" spans="1:14" x14ac:dyDescent="0.25">
      <c r="A12" s="96">
        <v>8</v>
      </c>
      <c r="B12" s="96" t="s">
        <v>428</v>
      </c>
      <c r="C12" s="96">
        <v>582</v>
      </c>
      <c r="D12" s="96">
        <v>694</v>
      </c>
      <c r="E12" s="96">
        <v>582</v>
      </c>
      <c r="F12" s="96">
        <v>694</v>
      </c>
    </row>
    <row r="13" spans="1:14" x14ac:dyDescent="0.25">
      <c r="A13" s="96">
        <v>9</v>
      </c>
      <c r="B13" s="96" t="s">
        <v>429</v>
      </c>
      <c r="C13" s="96">
        <v>665</v>
      </c>
      <c r="D13" s="96">
        <v>789</v>
      </c>
      <c r="E13" s="96">
        <v>665</v>
      </c>
      <c r="F13" s="96">
        <v>789</v>
      </c>
    </row>
    <row r="14" spans="1:14" x14ac:dyDescent="0.25">
      <c r="A14" s="96">
        <v>10</v>
      </c>
      <c r="B14" s="96" t="s">
        <v>430</v>
      </c>
      <c r="C14" s="96">
        <v>745</v>
      </c>
      <c r="D14" s="96">
        <v>880</v>
      </c>
      <c r="E14" s="96">
        <v>745</v>
      </c>
      <c r="F14" s="96">
        <v>880</v>
      </c>
    </row>
    <row r="15" spans="1:14" x14ac:dyDescent="0.25">
      <c r="A15" s="96">
        <v>11</v>
      </c>
      <c r="B15" s="96" t="s">
        <v>431</v>
      </c>
      <c r="C15" s="96">
        <v>822</v>
      </c>
      <c r="D15" s="96">
        <v>967</v>
      </c>
      <c r="E15" s="96">
        <v>822</v>
      </c>
      <c r="F15" s="96">
        <v>967</v>
      </c>
    </row>
    <row r="16" spans="1:14" x14ac:dyDescent="0.25">
      <c r="A16" s="96">
        <v>12</v>
      </c>
      <c r="B16" s="96" t="s">
        <v>432</v>
      </c>
      <c r="C16" s="96">
        <v>896</v>
      </c>
      <c r="D16" s="96">
        <v>1052</v>
      </c>
      <c r="E16" s="96">
        <v>896</v>
      </c>
      <c r="F16" s="96">
        <v>1052</v>
      </c>
    </row>
    <row r="17" spans="1:10" x14ac:dyDescent="0.25">
      <c r="A17" s="96">
        <v>13</v>
      </c>
      <c r="B17" s="96" t="s">
        <v>433</v>
      </c>
      <c r="C17" s="96">
        <v>967</v>
      </c>
      <c r="D17" s="96">
        <v>1134</v>
      </c>
      <c r="E17" s="96">
        <v>967</v>
      </c>
      <c r="F17" s="96">
        <v>1134</v>
      </c>
    </row>
    <row r="18" spans="1:10" x14ac:dyDescent="0.25">
      <c r="A18" s="96">
        <v>14</v>
      </c>
      <c r="B18" s="96" t="s">
        <v>434</v>
      </c>
      <c r="C18" s="96">
        <v>1035</v>
      </c>
      <c r="D18" s="96">
        <v>1213</v>
      </c>
      <c r="E18" s="96">
        <v>1035</v>
      </c>
      <c r="F18" s="96">
        <v>1213</v>
      </c>
    </row>
    <row r="19" spans="1:10" x14ac:dyDescent="0.25">
      <c r="A19" s="96">
        <v>15</v>
      </c>
      <c r="B19" s="96" t="s">
        <v>435</v>
      </c>
      <c r="C19" s="96">
        <v>1101</v>
      </c>
      <c r="D19" s="96">
        <v>1291</v>
      </c>
      <c r="E19" s="96">
        <v>1101</v>
      </c>
      <c r="F19" s="96">
        <v>1291</v>
      </c>
      <c r="H19" s="96">
        <v>0</v>
      </c>
      <c r="J19" s="96">
        <v>0</v>
      </c>
    </row>
    <row r="20" spans="1:10" x14ac:dyDescent="0.25">
      <c r="A20" s="96">
        <v>16</v>
      </c>
      <c r="B20" s="96" t="s">
        <v>436</v>
      </c>
      <c r="C20" s="96">
        <v>1168</v>
      </c>
      <c r="D20" s="96">
        <v>1367</v>
      </c>
      <c r="E20" s="96">
        <v>1168</v>
      </c>
      <c r="F20" s="96">
        <v>1367</v>
      </c>
      <c r="H20" s="96">
        <v>0</v>
      </c>
      <c r="J20" s="96">
        <v>0</v>
      </c>
    </row>
    <row r="21" spans="1:10" x14ac:dyDescent="0.25">
      <c r="A21" s="96">
        <v>17</v>
      </c>
      <c r="B21" s="96" t="s">
        <v>437</v>
      </c>
      <c r="C21" s="96">
        <v>1235</v>
      </c>
      <c r="D21" s="96">
        <v>1440</v>
      </c>
      <c r="E21" s="96">
        <v>1235</v>
      </c>
      <c r="F21" s="96">
        <v>1440</v>
      </c>
      <c r="H21" s="96">
        <v>0</v>
      </c>
      <c r="J21" s="96">
        <v>0</v>
      </c>
    </row>
    <row r="22" spans="1:10" x14ac:dyDescent="0.25">
      <c r="A22" s="96">
        <v>18</v>
      </c>
      <c r="B22" s="96" t="s">
        <v>438</v>
      </c>
      <c r="C22" s="96">
        <v>1300</v>
      </c>
      <c r="D22" s="96">
        <v>1520</v>
      </c>
      <c r="E22" s="96">
        <v>1300</v>
      </c>
      <c r="F22" s="96">
        <v>1520</v>
      </c>
      <c r="H22" s="96">
        <v>0</v>
      </c>
      <c r="J22" s="96">
        <v>0</v>
      </c>
    </row>
    <row r="23" spans="1:10" x14ac:dyDescent="0.25">
      <c r="A23" s="96">
        <v>19</v>
      </c>
      <c r="B23" s="96" t="s">
        <v>439</v>
      </c>
      <c r="C23" s="96">
        <v>1358</v>
      </c>
      <c r="D23" s="96">
        <v>1600</v>
      </c>
      <c r="E23" s="96">
        <v>1358</v>
      </c>
      <c r="F23" s="96">
        <v>1600</v>
      </c>
      <c r="G23" s="97">
        <v>40.799999999999997</v>
      </c>
      <c r="H23" s="97">
        <v>45</v>
      </c>
      <c r="I23" s="97">
        <v>40.799999999999997</v>
      </c>
      <c r="J23" s="97">
        <v>45</v>
      </c>
    </row>
    <row r="24" spans="1:10" x14ac:dyDescent="0.25">
      <c r="A24" s="96">
        <v>20</v>
      </c>
      <c r="B24" s="96" t="s">
        <v>440</v>
      </c>
      <c r="C24" s="96">
        <v>1408</v>
      </c>
      <c r="D24" s="96">
        <v>1680</v>
      </c>
      <c r="E24" s="96">
        <v>1408</v>
      </c>
      <c r="F24" s="96">
        <v>1680</v>
      </c>
      <c r="G24" s="97">
        <v>43.7</v>
      </c>
      <c r="H24" s="97">
        <v>47.6</v>
      </c>
      <c r="I24" s="97">
        <v>43.7</v>
      </c>
      <c r="J24" s="97">
        <v>47.6</v>
      </c>
    </row>
    <row r="25" spans="1:10" x14ac:dyDescent="0.25">
      <c r="A25" s="96">
        <v>21</v>
      </c>
      <c r="B25" s="96" t="s">
        <v>441</v>
      </c>
      <c r="C25" s="96">
        <v>1450</v>
      </c>
      <c r="D25" s="96">
        <v>1750</v>
      </c>
      <c r="E25" s="96">
        <v>1450</v>
      </c>
      <c r="F25" s="96">
        <v>1750</v>
      </c>
      <c r="G25" s="97">
        <v>46.3</v>
      </c>
      <c r="H25" s="97">
        <v>50</v>
      </c>
      <c r="I25" s="97">
        <v>46.3</v>
      </c>
      <c r="J25" s="97">
        <v>50</v>
      </c>
    </row>
    <row r="26" spans="1:10" x14ac:dyDescent="0.25">
      <c r="A26" s="96">
        <v>22</v>
      </c>
      <c r="B26" s="96" t="s">
        <v>442</v>
      </c>
      <c r="C26" s="96">
        <v>1486</v>
      </c>
      <c r="D26" s="96">
        <v>1810</v>
      </c>
      <c r="E26" s="96">
        <v>1486</v>
      </c>
      <c r="F26" s="96">
        <v>1810</v>
      </c>
      <c r="G26" s="97">
        <v>48.7</v>
      </c>
      <c r="H26" s="97">
        <v>52.2</v>
      </c>
      <c r="I26" s="97">
        <v>48.7</v>
      </c>
      <c r="J26" s="97">
        <v>52.2</v>
      </c>
    </row>
    <row r="27" spans="1:10" x14ac:dyDescent="0.25">
      <c r="A27" s="96">
        <v>23</v>
      </c>
      <c r="B27" s="96" t="s">
        <v>443</v>
      </c>
      <c r="C27" s="96">
        <v>1516</v>
      </c>
      <c r="D27" s="96">
        <v>1850</v>
      </c>
      <c r="E27" s="96">
        <v>1516</v>
      </c>
      <c r="F27" s="96">
        <v>1850</v>
      </c>
      <c r="G27" s="97">
        <v>50.8</v>
      </c>
      <c r="H27" s="97">
        <v>54.1</v>
      </c>
      <c r="I27" s="97">
        <v>50.8</v>
      </c>
      <c r="J27" s="97">
        <v>54.1</v>
      </c>
    </row>
    <row r="28" spans="1:10" x14ac:dyDescent="0.25">
      <c r="A28" s="96">
        <v>24</v>
      </c>
      <c r="B28" s="96" t="s">
        <v>444</v>
      </c>
      <c r="C28" s="96">
        <v>1540</v>
      </c>
      <c r="D28" s="96">
        <v>1880</v>
      </c>
      <c r="E28" s="96">
        <v>1540</v>
      </c>
      <c r="F28" s="96">
        <v>1880</v>
      </c>
      <c r="G28" s="97">
        <v>52.6</v>
      </c>
      <c r="H28" s="97">
        <v>55.8</v>
      </c>
      <c r="I28" s="97">
        <v>52.6</v>
      </c>
      <c r="J28" s="97">
        <v>55.8</v>
      </c>
    </row>
    <row r="29" spans="1:10" x14ac:dyDescent="0.25">
      <c r="A29" s="96">
        <v>25</v>
      </c>
      <c r="B29" s="96" t="s">
        <v>445</v>
      </c>
      <c r="C29" s="96">
        <v>1559</v>
      </c>
      <c r="D29" s="96">
        <v>1900</v>
      </c>
      <c r="E29" s="96">
        <v>1559</v>
      </c>
      <c r="F29" s="96">
        <v>1900</v>
      </c>
      <c r="G29" s="97">
        <v>54.2</v>
      </c>
      <c r="H29" s="97">
        <v>57.2</v>
      </c>
      <c r="I29" s="97">
        <v>54.2</v>
      </c>
      <c r="J29" s="97">
        <v>57.2</v>
      </c>
    </row>
    <row r="30" spans="1:10" x14ac:dyDescent="0.25">
      <c r="A30" s="96">
        <v>26</v>
      </c>
      <c r="B30" s="96" t="s">
        <v>446</v>
      </c>
      <c r="C30" s="96">
        <v>1574</v>
      </c>
      <c r="D30" s="96">
        <v>1910</v>
      </c>
      <c r="E30" s="96">
        <v>1574</v>
      </c>
      <c r="F30" s="96">
        <v>1910</v>
      </c>
      <c r="G30" s="97">
        <v>55.4</v>
      </c>
      <c r="H30" s="97">
        <v>58.4</v>
      </c>
      <c r="I30" s="97">
        <v>55.4</v>
      </c>
      <c r="J30" s="97">
        <v>58.4</v>
      </c>
    </row>
    <row r="31" spans="1:10" x14ac:dyDescent="0.25">
      <c r="A31" s="96">
        <v>27</v>
      </c>
      <c r="B31" s="96" t="s">
        <v>447</v>
      </c>
      <c r="C31" s="96">
        <v>1584</v>
      </c>
      <c r="D31" s="96">
        <v>1910</v>
      </c>
      <c r="E31" s="96">
        <v>1584</v>
      </c>
      <c r="F31" s="96">
        <v>1910</v>
      </c>
      <c r="G31" s="97">
        <v>56.4</v>
      </c>
      <c r="H31" s="97">
        <v>59.2</v>
      </c>
      <c r="I31" s="97">
        <v>56.4</v>
      </c>
      <c r="J31" s="97">
        <v>59.2</v>
      </c>
    </row>
    <row r="32" spans="1:10" x14ac:dyDescent="0.25">
      <c r="A32" s="96">
        <v>28</v>
      </c>
      <c r="B32" s="96" t="s">
        <v>448</v>
      </c>
      <c r="C32" s="96">
        <v>1590</v>
      </c>
      <c r="D32" s="96">
        <v>1920</v>
      </c>
      <c r="E32" s="96">
        <v>1590</v>
      </c>
      <c r="F32" s="96">
        <v>1920</v>
      </c>
      <c r="G32" s="97">
        <v>57.1</v>
      </c>
      <c r="H32" s="97">
        <v>59.9</v>
      </c>
      <c r="I32" s="97">
        <v>57.1</v>
      </c>
      <c r="J32" s="97">
        <v>59.9</v>
      </c>
    </row>
    <row r="33" spans="1:10" x14ac:dyDescent="0.25">
      <c r="A33" s="96">
        <v>29</v>
      </c>
      <c r="B33" s="96" t="s">
        <v>449</v>
      </c>
      <c r="C33" s="96">
        <v>1594</v>
      </c>
      <c r="D33" s="96">
        <v>1920</v>
      </c>
      <c r="E33" s="96">
        <v>1594</v>
      </c>
      <c r="F33" s="96">
        <v>1920</v>
      </c>
      <c r="G33" s="97">
        <v>57.7</v>
      </c>
      <c r="H33" s="97">
        <v>60.5</v>
      </c>
      <c r="I33" s="97">
        <v>57.7</v>
      </c>
      <c r="J33" s="97">
        <v>60.5</v>
      </c>
    </row>
    <row r="34" spans="1:10" x14ac:dyDescent="0.25">
      <c r="A34" s="96">
        <v>30</v>
      </c>
      <c r="B34" s="96" t="s">
        <v>450</v>
      </c>
      <c r="C34" s="96">
        <v>1597</v>
      </c>
      <c r="D34" s="96">
        <v>1930</v>
      </c>
      <c r="E34" s="96">
        <v>1597</v>
      </c>
      <c r="F34" s="96">
        <v>1930</v>
      </c>
      <c r="G34" s="97">
        <v>58.2</v>
      </c>
      <c r="H34" s="97">
        <v>61</v>
      </c>
      <c r="I34" s="97">
        <v>58.2</v>
      </c>
      <c r="J34" s="97">
        <v>61</v>
      </c>
    </row>
    <row r="35" spans="1:10" x14ac:dyDescent="0.25">
      <c r="A35" s="96">
        <v>31</v>
      </c>
      <c r="B35" s="96" t="s">
        <v>451</v>
      </c>
      <c r="C35" s="96">
        <v>1600</v>
      </c>
      <c r="D35" s="96">
        <v>1930</v>
      </c>
      <c r="E35" s="96">
        <v>1600</v>
      </c>
      <c r="F35" s="96">
        <v>1930</v>
      </c>
      <c r="G35" s="97">
        <v>58.7</v>
      </c>
      <c r="H35" s="97">
        <v>61.5</v>
      </c>
      <c r="I35" s="97">
        <v>58.7</v>
      </c>
      <c r="J35" s="97">
        <v>61.5</v>
      </c>
    </row>
    <row r="36" spans="1:10" x14ac:dyDescent="0.25">
      <c r="A36" s="96">
        <v>32</v>
      </c>
      <c r="B36" s="96" t="s">
        <v>452</v>
      </c>
      <c r="C36" s="96">
        <v>1603</v>
      </c>
      <c r="D36" s="96">
        <v>1930</v>
      </c>
      <c r="E36" s="96">
        <v>1603</v>
      </c>
      <c r="F36" s="96">
        <v>1930</v>
      </c>
      <c r="G36" s="97">
        <v>59.1</v>
      </c>
      <c r="H36" s="97">
        <v>61.9</v>
      </c>
      <c r="I36" s="97">
        <v>59.1</v>
      </c>
      <c r="J36" s="97">
        <v>61.9</v>
      </c>
    </row>
    <row r="37" spans="1:10" x14ac:dyDescent="0.25">
      <c r="A37" s="96">
        <v>33</v>
      </c>
      <c r="B37" s="96" t="s">
        <v>453</v>
      </c>
      <c r="C37" s="96">
        <v>1606</v>
      </c>
      <c r="D37" s="96">
        <v>1930</v>
      </c>
      <c r="E37" s="96">
        <v>1606</v>
      </c>
      <c r="F37" s="96">
        <v>1930</v>
      </c>
      <c r="G37" s="97">
        <v>59.5</v>
      </c>
      <c r="H37" s="97">
        <v>62.3</v>
      </c>
      <c r="I37" s="97">
        <v>59.5</v>
      </c>
      <c r="J37" s="97">
        <v>62.3</v>
      </c>
    </row>
    <row r="38" spans="1:10" x14ac:dyDescent="0.25">
      <c r="A38" s="96">
        <v>34</v>
      </c>
      <c r="B38" s="96" t="s">
        <v>454</v>
      </c>
      <c r="C38" s="96">
        <v>1609</v>
      </c>
      <c r="D38" s="96">
        <v>1940</v>
      </c>
      <c r="E38" s="96">
        <v>1609</v>
      </c>
      <c r="F38" s="96">
        <v>1940</v>
      </c>
      <c r="G38" s="97">
        <v>59.8</v>
      </c>
      <c r="H38" s="97">
        <v>62.6</v>
      </c>
      <c r="I38" s="97">
        <v>59.8</v>
      </c>
      <c r="J38" s="97">
        <v>62.6</v>
      </c>
    </row>
    <row r="39" spans="1:10" x14ac:dyDescent="0.25">
      <c r="A39" s="96">
        <v>35</v>
      </c>
      <c r="B39" s="96" t="s">
        <v>455</v>
      </c>
      <c r="C39" s="96">
        <v>1612</v>
      </c>
      <c r="D39" s="96">
        <v>1940</v>
      </c>
      <c r="E39" s="96">
        <v>1612</v>
      </c>
      <c r="F39" s="96">
        <v>1940</v>
      </c>
      <c r="G39" s="97">
        <v>60</v>
      </c>
      <c r="H39" s="97">
        <v>62.8</v>
      </c>
      <c r="I39" s="97">
        <v>60</v>
      </c>
      <c r="J39" s="97">
        <v>62.8</v>
      </c>
    </row>
    <row r="40" spans="1:10" x14ac:dyDescent="0.25">
      <c r="A40" s="96">
        <v>36</v>
      </c>
      <c r="B40" s="96" t="s">
        <v>456</v>
      </c>
      <c r="C40" s="96">
        <v>1615</v>
      </c>
      <c r="D40" s="96">
        <v>1940</v>
      </c>
      <c r="E40" s="96">
        <v>1615</v>
      </c>
      <c r="F40" s="96">
        <v>1940</v>
      </c>
      <c r="G40" s="97">
        <v>60.3</v>
      </c>
      <c r="H40" s="97">
        <v>63</v>
      </c>
      <c r="I40" s="97">
        <v>60.3</v>
      </c>
      <c r="J40" s="97">
        <v>63</v>
      </c>
    </row>
    <row r="41" spans="1:10" x14ac:dyDescent="0.25">
      <c r="A41" s="96">
        <v>37</v>
      </c>
      <c r="B41" s="96" t="s">
        <v>457</v>
      </c>
      <c r="C41" s="96">
        <v>1618</v>
      </c>
      <c r="D41" s="96">
        <v>1950</v>
      </c>
      <c r="E41" s="96">
        <v>1618</v>
      </c>
      <c r="F41" s="96">
        <v>1950</v>
      </c>
      <c r="G41" s="97">
        <v>60.4</v>
      </c>
      <c r="H41" s="97">
        <v>63.2</v>
      </c>
      <c r="I41" s="97">
        <v>60.4</v>
      </c>
      <c r="J41" s="97">
        <v>63.2</v>
      </c>
    </row>
    <row r="42" spans="1:10" x14ac:dyDescent="0.25">
      <c r="A42" s="96">
        <v>38</v>
      </c>
      <c r="B42" s="96" t="s">
        <v>458</v>
      </c>
      <c r="C42" s="96">
        <v>1621</v>
      </c>
      <c r="D42" s="96">
        <v>1950</v>
      </c>
      <c r="E42" s="96">
        <v>1621</v>
      </c>
      <c r="F42" s="96">
        <v>1950</v>
      </c>
      <c r="G42" s="97">
        <v>60.6</v>
      </c>
      <c r="H42" s="97">
        <v>63.4</v>
      </c>
      <c r="I42" s="97">
        <v>60.6</v>
      </c>
      <c r="J42" s="97">
        <v>63.4</v>
      </c>
    </row>
    <row r="43" spans="1:10" x14ac:dyDescent="0.25">
      <c r="A43" s="96">
        <v>39</v>
      </c>
      <c r="B43" s="96" t="s">
        <v>459</v>
      </c>
      <c r="C43" s="96">
        <v>1624</v>
      </c>
      <c r="D43" s="96">
        <v>1950</v>
      </c>
      <c r="E43" s="96">
        <v>1624</v>
      </c>
      <c r="F43" s="96">
        <v>1950</v>
      </c>
      <c r="G43" s="97">
        <v>60.8</v>
      </c>
      <c r="H43" s="97">
        <v>63.5</v>
      </c>
      <c r="I43" s="97">
        <v>60.8</v>
      </c>
      <c r="J43" s="97">
        <v>63.5</v>
      </c>
    </row>
    <row r="44" spans="1:10" x14ac:dyDescent="0.25">
      <c r="A44" s="96">
        <v>40</v>
      </c>
      <c r="B44" s="96" t="s">
        <v>460</v>
      </c>
      <c r="C44" s="96">
        <v>1626</v>
      </c>
      <c r="D44" s="96">
        <v>1960</v>
      </c>
      <c r="E44" s="96">
        <v>1626</v>
      </c>
      <c r="F44" s="96">
        <v>1960</v>
      </c>
      <c r="G44" s="97">
        <v>60.9</v>
      </c>
      <c r="H44" s="97">
        <v>63.7</v>
      </c>
      <c r="I44" s="97">
        <v>60.9</v>
      </c>
      <c r="J44" s="97">
        <v>63.7</v>
      </c>
    </row>
    <row r="45" spans="1:10" x14ac:dyDescent="0.25">
      <c r="A45" s="96">
        <v>41</v>
      </c>
      <c r="B45" s="96" t="s">
        <v>461</v>
      </c>
      <c r="C45" s="96">
        <v>1628</v>
      </c>
      <c r="D45" s="96">
        <v>1960</v>
      </c>
      <c r="E45" s="96">
        <v>1628</v>
      </c>
      <c r="F45" s="96">
        <v>1960</v>
      </c>
      <c r="G45" s="97">
        <v>61.1</v>
      </c>
      <c r="H45" s="97">
        <v>63.8</v>
      </c>
      <c r="I45" s="97">
        <v>61.1</v>
      </c>
      <c r="J45" s="97">
        <v>63.8</v>
      </c>
    </row>
    <row r="46" spans="1:10" x14ac:dyDescent="0.25">
      <c r="A46" s="96">
        <v>42</v>
      </c>
      <c r="B46" s="96" t="s">
        <v>462</v>
      </c>
      <c r="C46" s="96">
        <v>1630</v>
      </c>
      <c r="D46" s="96">
        <v>1960</v>
      </c>
      <c r="E46" s="96">
        <v>1630</v>
      </c>
      <c r="F46" s="96">
        <v>1960</v>
      </c>
      <c r="G46" s="97">
        <v>61.2</v>
      </c>
      <c r="H46" s="97">
        <v>63.9</v>
      </c>
      <c r="I46" s="97">
        <v>61.2</v>
      </c>
      <c r="J46" s="97">
        <v>63.9</v>
      </c>
    </row>
    <row r="47" spans="1:10" x14ac:dyDescent="0.25">
      <c r="A47" s="96">
        <v>43</v>
      </c>
      <c r="B47" s="96" t="s">
        <v>463</v>
      </c>
      <c r="C47" s="96">
        <v>1632</v>
      </c>
      <c r="D47" s="96">
        <v>1960</v>
      </c>
      <c r="E47" s="96">
        <v>1632</v>
      </c>
      <c r="F47" s="96">
        <v>1960</v>
      </c>
      <c r="G47" s="97">
        <v>61.4</v>
      </c>
      <c r="H47" s="97">
        <v>64</v>
      </c>
      <c r="I47" s="97">
        <v>61.4</v>
      </c>
      <c r="J47" s="97">
        <v>64</v>
      </c>
    </row>
    <row r="48" spans="1:10" x14ac:dyDescent="0.25">
      <c r="A48" s="96">
        <v>44</v>
      </c>
      <c r="B48" s="96" t="s">
        <v>464</v>
      </c>
      <c r="C48" s="96">
        <v>1634</v>
      </c>
      <c r="D48" s="96">
        <v>1970</v>
      </c>
      <c r="E48" s="96">
        <v>1634</v>
      </c>
      <c r="F48" s="96">
        <v>1970</v>
      </c>
      <c r="G48" s="97">
        <v>61.5</v>
      </c>
      <c r="H48" s="97">
        <v>64.099999999999994</v>
      </c>
      <c r="I48" s="97">
        <v>61.5</v>
      </c>
      <c r="J48" s="97">
        <v>64.099999999999994</v>
      </c>
    </row>
    <row r="49" spans="1:10" x14ac:dyDescent="0.25">
      <c r="A49" s="96">
        <v>45</v>
      </c>
      <c r="B49" s="96" t="s">
        <v>465</v>
      </c>
      <c r="C49" s="96">
        <v>1636</v>
      </c>
      <c r="D49" s="96">
        <v>1970</v>
      </c>
      <c r="E49" s="96">
        <v>1636</v>
      </c>
      <c r="F49" s="96">
        <v>1970</v>
      </c>
      <c r="G49" s="97">
        <v>61.6</v>
      </c>
      <c r="H49" s="97">
        <v>64.2</v>
      </c>
      <c r="I49" s="97">
        <v>61.6</v>
      </c>
      <c r="J49" s="97">
        <v>64.2</v>
      </c>
    </row>
    <row r="50" spans="1:10" x14ac:dyDescent="0.25">
      <c r="A50" s="96">
        <v>46</v>
      </c>
      <c r="B50" s="96" t="s">
        <v>466</v>
      </c>
      <c r="C50" s="96">
        <v>1638</v>
      </c>
      <c r="D50" s="96">
        <v>1970</v>
      </c>
      <c r="E50" s="96">
        <v>1638</v>
      </c>
      <c r="F50" s="96">
        <v>1970</v>
      </c>
      <c r="G50" s="97">
        <v>61.8</v>
      </c>
      <c r="H50" s="97">
        <v>64.3</v>
      </c>
      <c r="I50" s="97">
        <v>61.8</v>
      </c>
      <c r="J50" s="97">
        <v>64.3</v>
      </c>
    </row>
    <row r="51" spans="1:10" x14ac:dyDescent="0.25">
      <c r="A51" s="96">
        <v>47</v>
      </c>
      <c r="B51" s="96" t="s">
        <v>467</v>
      </c>
      <c r="C51" s="96">
        <v>1640</v>
      </c>
      <c r="D51" s="96">
        <v>1980</v>
      </c>
      <c r="E51" s="96">
        <v>1640</v>
      </c>
      <c r="F51" s="96">
        <v>1980</v>
      </c>
      <c r="G51" s="97">
        <v>61.9</v>
      </c>
      <c r="H51" s="97">
        <v>64.400000000000006</v>
      </c>
      <c r="I51" s="97">
        <v>61.9</v>
      </c>
      <c r="J51" s="97">
        <v>64.400000000000006</v>
      </c>
    </row>
    <row r="52" spans="1:10" x14ac:dyDescent="0.25">
      <c r="A52" s="96">
        <v>48</v>
      </c>
      <c r="B52" s="96" t="s">
        <v>468</v>
      </c>
      <c r="C52" s="96">
        <v>1642</v>
      </c>
      <c r="D52" s="96">
        <v>1980</v>
      </c>
      <c r="E52" s="96">
        <v>1642</v>
      </c>
      <c r="F52" s="96">
        <v>1980</v>
      </c>
      <c r="G52" s="97">
        <v>62</v>
      </c>
      <c r="H52" s="97">
        <v>64.5</v>
      </c>
      <c r="I52" s="97">
        <v>62</v>
      </c>
      <c r="J52" s="97">
        <v>64.5</v>
      </c>
    </row>
    <row r="53" spans="1:10" x14ac:dyDescent="0.25">
      <c r="A53" s="96">
        <v>49</v>
      </c>
      <c r="B53" s="96" t="s">
        <v>469</v>
      </c>
      <c r="C53" s="96">
        <v>1644</v>
      </c>
      <c r="D53" s="96">
        <v>1980</v>
      </c>
      <c r="E53" s="96">
        <v>1644</v>
      </c>
      <c r="F53" s="96">
        <v>1980</v>
      </c>
      <c r="G53" s="97">
        <v>62.1</v>
      </c>
      <c r="H53" s="97">
        <v>64.599999999999994</v>
      </c>
      <c r="I53" s="97">
        <v>62.1</v>
      </c>
      <c r="J53" s="97">
        <v>64.599999999999994</v>
      </c>
    </row>
    <row r="54" spans="1:10" x14ac:dyDescent="0.25">
      <c r="A54" s="96">
        <v>50</v>
      </c>
      <c r="B54" s="96" t="s">
        <v>470</v>
      </c>
      <c r="C54" s="96">
        <v>1646</v>
      </c>
      <c r="D54" s="96">
        <v>1990</v>
      </c>
      <c r="E54" s="96">
        <v>1646</v>
      </c>
      <c r="F54" s="96">
        <v>1990</v>
      </c>
      <c r="G54" s="97">
        <v>62.3</v>
      </c>
      <c r="H54" s="97">
        <v>64.7</v>
      </c>
      <c r="I54" s="97">
        <v>62.3</v>
      </c>
      <c r="J54" s="97">
        <v>64.7</v>
      </c>
    </row>
    <row r="55" spans="1:10" x14ac:dyDescent="0.25">
      <c r="A55" s="96">
        <v>51</v>
      </c>
      <c r="B55" s="96" t="s">
        <v>471</v>
      </c>
      <c r="C55" s="96">
        <v>1648</v>
      </c>
      <c r="D55" s="96">
        <v>1990</v>
      </c>
      <c r="E55" s="96">
        <v>1648</v>
      </c>
      <c r="F55" s="96">
        <v>1990</v>
      </c>
      <c r="G55" s="97">
        <v>62.4</v>
      </c>
      <c r="H55" s="97">
        <v>64.8</v>
      </c>
      <c r="I55" s="97">
        <v>62.4</v>
      </c>
      <c r="J55" s="97">
        <v>64.8</v>
      </c>
    </row>
    <row r="56" spans="1:10" x14ac:dyDescent="0.25">
      <c r="A56" s="96">
        <v>52</v>
      </c>
      <c r="B56" s="96" t="s">
        <v>472</v>
      </c>
      <c r="C56" s="96">
        <v>1650</v>
      </c>
      <c r="D56" s="96">
        <v>1990</v>
      </c>
      <c r="E56" s="96">
        <v>1650</v>
      </c>
      <c r="F56" s="96">
        <v>1990</v>
      </c>
      <c r="G56" s="97">
        <v>62.5</v>
      </c>
      <c r="H56" s="97">
        <v>64.900000000000006</v>
      </c>
      <c r="I56" s="97">
        <v>62.5</v>
      </c>
      <c r="J56" s="97">
        <v>64.900000000000006</v>
      </c>
    </row>
    <row r="57" spans="1:10" x14ac:dyDescent="0.25">
      <c r="A57" s="96">
        <v>53</v>
      </c>
      <c r="B57" s="96" t="s">
        <v>473</v>
      </c>
      <c r="C57" s="96">
        <v>1652</v>
      </c>
      <c r="D57" s="96">
        <v>1990</v>
      </c>
      <c r="E57" s="96">
        <v>1652</v>
      </c>
      <c r="F57" s="96">
        <v>1990</v>
      </c>
      <c r="G57" s="97">
        <v>62.6</v>
      </c>
      <c r="H57" s="97">
        <v>65</v>
      </c>
      <c r="I57" s="97">
        <v>62.6</v>
      </c>
      <c r="J57" s="97">
        <v>65</v>
      </c>
    </row>
    <row r="58" spans="1:10" x14ac:dyDescent="0.25">
      <c r="A58" s="96">
        <v>54</v>
      </c>
      <c r="B58" s="96" t="s">
        <v>474</v>
      </c>
      <c r="C58" s="96">
        <v>1654</v>
      </c>
      <c r="D58" s="96">
        <v>2000</v>
      </c>
      <c r="E58" s="96">
        <v>1654</v>
      </c>
      <c r="F58" s="96">
        <v>2000</v>
      </c>
      <c r="G58" s="97">
        <v>62.7</v>
      </c>
      <c r="H58" s="97">
        <v>65.099999999999994</v>
      </c>
      <c r="I58" s="97">
        <v>62.7</v>
      </c>
      <c r="J58" s="97">
        <v>65.099999999999994</v>
      </c>
    </row>
    <row r="59" spans="1:10" x14ac:dyDescent="0.25">
      <c r="A59" s="96">
        <v>55</v>
      </c>
      <c r="B59" s="96" t="s">
        <v>475</v>
      </c>
      <c r="C59" s="96">
        <v>1656</v>
      </c>
      <c r="D59" s="96">
        <v>2000</v>
      </c>
      <c r="E59" s="96">
        <v>1656</v>
      </c>
      <c r="F59" s="96">
        <v>2000</v>
      </c>
      <c r="G59" s="97">
        <v>62.8</v>
      </c>
      <c r="H59" s="97">
        <v>65.2</v>
      </c>
      <c r="I59" s="97">
        <v>62.8</v>
      </c>
      <c r="J59" s="97">
        <v>65.2</v>
      </c>
    </row>
    <row r="60" spans="1:10" x14ac:dyDescent="0.25">
      <c r="A60" s="96">
        <v>56</v>
      </c>
      <c r="B60" s="96" t="s">
        <v>476</v>
      </c>
      <c r="C60" s="96">
        <v>1658</v>
      </c>
      <c r="D60" s="96">
        <v>2000</v>
      </c>
      <c r="E60" s="96">
        <v>1658</v>
      </c>
      <c r="F60" s="96">
        <v>2000</v>
      </c>
      <c r="G60" s="97">
        <v>62.9</v>
      </c>
      <c r="H60" s="97">
        <v>65.3</v>
      </c>
      <c r="I60" s="97">
        <v>62.9</v>
      </c>
      <c r="J60" s="97">
        <v>65.3</v>
      </c>
    </row>
    <row r="61" spans="1:10" x14ac:dyDescent="0.25">
      <c r="A61" s="96">
        <v>57</v>
      </c>
      <c r="B61" s="96" t="s">
        <v>477</v>
      </c>
      <c r="C61" s="96">
        <v>1660</v>
      </c>
      <c r="D61" s="96">
        <v>2000</v>
      </c>
      <c r="E61" s="96">
        <v>1660</v>
      </c>
      <c r="F61" s="96">
        <v>2000</v>
      </c>
      <c r="G61" s="97">
        <v>63</v>
      </c>
      <c r="H61" s="97">
        <v>65.3</v>
      </c>
      <c r="I61" s="97">
        <v>63</v>
      </c>
      <c r="J61" s="97">
        <v>65.3</v>
      </c>
    </row>
    <row r="62" spans="1:10" x14ac:dyDescent="0.25">
      <c r="A62" s="96">
        <v>58</v>
      </c>
      <c r="B62" s="96" t="s">
        <v>478</v>
      </c>
      <c r="C62" s="96">
        <v>1662</v>
      </c>
      <c r="D62" s="96">
        <v>2009.9999999999998</v>
      </c>
      <c r="E62" s="96">
        <v>1662</v>
      </c>
      <c r="F62" s="96">
        <v>2009.9999999999998</v>
      </c>
      <c r="G62" s="97">
        <v>63.1</v>
      </c>
      <c r="H62" s="97">
        <v>65.400000000000006</v>
      </c>
      <c r="I62" s="97">
        <v>63.1</v>
      </c>
      <c r="J62" s="97">
        <v>65.400000000000006</v>
      </c>
    </row>
    <row r="63" spans="1:10" x14ac:dyDescent="0.25">
      <c r="A63" s="96">
        <v>59</v>
      </c>
      <c r="B63" s="96" t="s">
        <v>479</v>
      </c>
      <c r="C63" s="96">
        <v>1664</v>
      </c>
      <c r="D63" s="96">
        <v>2009.9999999999998</v>
      </c>
      <c r="E63" s="96">
        <v>1664</v>
      </c>
      <c r="F63" s="96">
        <v>2009.9999999999998</v>
      </c>
      <c r="G63" s="97">
        <v>63.1</v>
      </c>
      <c r="H63" s="97">
        <v>65.5</v>
      </c>
      <c r="I63" s="97">
        <v>63.1</v>
      </c>
      <c r="J63" s="97">
        <v>65.5</v>
      </c>
    </row>
    <row r="64" spans="1:10" x14ac:dyDescent="0.25">
      <c r="A64" s="96">
        <v>60</v>
      </c>
      <c r="B64" s="96" t="s">
        <v>480</v>
      </c>
      <c r="C64" s="96">
        <v>1666</v>
      </c>
      <c r="D64" s="96">
        <v>2009.9999999999998</v>
      </c>
      <c r="E64" s="96">
        <v>1666</v>
      </c>
      <c r="F64" s="96">
        <v>2009.9999999999998</v>
      </c>
      <c r="G64" s="97">
        <v>63.2</v>
      </c>
      <c r="H64" s="97">
        <v>65.599999999999994</v>
      </c>
      <c r="I64" s="97">
        <v>63.2</v>
      </c>
      <c r="J64" s="97">
        <v>65.599999999999994</v>
      </c>
    </row>
    <row r="65" spans="1:10" x14ac:dyDescent="0.25">
      <c r="A65" s="96">
        <v>61</v>
      </c>
      <c r="B65" s="96" t="s">
        <v>481</v>
      </c>
      <c r="C65" s="96">
        <v>1668</v>
      </c>
      <c r="D65" s="96">
        <v>2009.9999999999998</v>
      </c>
      <c r="E65" s="96">
        <v>1668</v>
      </c>
      <c r="F65" s="96">
        <v>2009.9999999999998</v>
      </c>
      <c r="G65" s="97">
        <v>63.3</v>
      </c>
      <c r="H65" s="97">
        <v>65.7</v>
      </c>
      <c r="I65" s="97">
        <v>63.3</v>
      </c>
      <c r="J65" s="97">
        <v>65.7</v>
      </c>
    </row>
    <row r="66" spans="1:10" x14ac:dyDescent="0.25">
      <c r="A66" s="96">
        <v>62</v>
      </c>
      <c r="B66" s="96" t="s">
        <v>482</v>
      </c>
      <c r="C66" s="96">
        <v>1670</v>
      </c>
      <c r="D66" s="96">
        <v>2009.9999999999998</v>
      </c>
      <c r="E66" s="96">
        <v>1670</v>
      </c>
      <c r="F66" s="96">
        <v>2009.9999999999998</v>
      </c>
      <c r="G66" s="97">
        <v>63.4</v>
      </c>
      <c r="H66" s="97">
        <v>65.8</v>
      </c>
      <c r="I66" s="97">
        <v>63.4</v>
      </c>
      <c r="J66" s="97">
        <v>65.8</v>
      </c>
    </row>
    <row r="67" spans="1:10" x14ac:dyDescent="0.25">
      <c r="A67" s="96">
        <v>63</v>
      </c>
      <c r="B67" s="96" t="s">
        <v>483</v>
      </c>
      <c r="C67" s="96">
        <v>1672</v>
      </c>
      <c r="D67" s="96">
        <v>2020</v>
      </c>
      <c r="E67" s="96">
        <v>1672</v>
      </c>
      <c r="F67" s="96">
        <v>2020</v>
      </c>
      <c r="G67" s="97">
        <v>63.4</v>
      </c>
      <c r="H67" s="97">
        <v>65.8</v>
      </c>
      <c r="I67" s="97">
        <v>63.4</v>
      </c>
      <c r="J67" s="97">
        <v>65.8</v>
      </c>
    </row>
    <row r="68" spans="1:10" x14ac:dyDescent="0.25">
      <c r="A68" s="96">
        <v>64</v>
      </c>
      <c r="B68" s="96" t="s">
        <v>484</v>
      </c>
      <c r="C68" s="96">
        <v>1674</v>
      </c>
      <c r="D68" s="96">
        <v>2020</v>
      </c>
      <c r="E68" s="96">
        <v>1674</v>
      </c>
      <c r="F68" s="96">
        <v>2020</v>
      </c>
      <c r="G68" s="97">
        <v>63.5</v>
      </c>
      <c r="H68" s="97">
        <v>65.900000000000006</v>
      </c>
      <c r="I68" s="97">
        <v>63.5</v>
      </c>
      <c r="J68" s="97">
        <v>65.900000000000006</v>
      </c>
    </row>
    <row r="69" spans="1:10" x14ac:dyDescent="0.25">
      <c r="A69" s="96">
        <v>65</v>
      </c>
      <c r="B69" s="96" t="s">
        <v>485</v>
      </c>
      <c r="C69" s="96">
        <v>1676</v>
      </c>
      <c r="D69" s="96">
        <v>2020</v>
      </c>
      <c r="E69" s="96">
        <v>1676</v>
      </c>
      <c r="F69" s="96">
        <v>2020</v>
      </c>
      <c r="G69" s="97">
        <v>63.6</v>
      </c>
      <c r="H69" s="97">
        <v>66</v>
      </c>
      <c r="I69" s="97">
        <v>63.6</v>
      </c>
      <c r="J69" s="97">
        <v>66</v>
      </c>
    </row>
    <row r="70" spans="1:10" x14ac:dyDescent="0.25">
      <c r="A70" s="96">
        <v>66</v>
      </c>
      <c r="B70" s="96" t="s">
        <v>486</v>
      </c>
      <c r="C70" s="96">
        <v>1678</v>
      </c>
      <c r="D70" s="96">
        <v>2020</v>
      </c>
      <c r="E70" s="96">
        <v>1678</v>
      </c>
      <c r="F70" s="96">
        <v>2020</v>
      </c>
      <c r="G70" s="97">
        <v>63.6</v>
      </c>
      <c r="H70" s="97">
        <v>66.099999999999994</v>
      </c>
      <c r="I70" s="97">
        <v>63.6</v>
      </c>
      <c r="J70" s="97">
        <v>66.099999999999994</v>
      </c>
    </row>
    <row r="71" spans="1:10" x14ac:dyDescent="0.25">
      <c r="A71" s="96">
        <v>67</v>
      </c>
      <c r="B71" s="96" t="s">
        <v>487</v>
      </c>
      <c r="C71" s="96">
        <v>1680</v>
      </c>
      <c r="D71" s="96">
        <v>2020</v>
      </c>
      <c r="E71" s="96">
        <v>1680</v>
      </c>
      <c r="F71" s="96">
        <v>2020</v>
      </c>
      <c r="G71" s="97">
        <v>63.7</v>
      </c>
      <c r="H71" s="97">
        <v>66.099999999999994</v>
      </c>
      <c r="I71" s="97">
        <v>63.7</v>
      </c>
      <c r="J71" s="97">
        <v>66.099999999999994</v>
      </c>
    </row>
    <row r="72" spans="1:10" x14ac:dyDescent="0.25">
      <c r="A72" s="96">
        <v>68</v>
      </c>
      <c r="B72" s="96" t="s">
        <v>488</v>
      </c>
      <c r="C72" s="96">
        <v>1682</v>
      </c>
      <c r="D72" s="96">
        <v>2029.9999999999998</v>
      </c>
      <c r="E72" s="96">
        <v>1682</v>
      </c>
      <c r="F72" s="96">
        <v>2029.9999999999998</v>
      </c>
      <c r="G72" s="97">
        <v>63.7</v>
      </c>
      <c r="H72" s="97">
        <v>66.2</v>
      </c>
      <c r="I72" s="97">
        <v>63.7</v>
      </c>
      <c r="J72" s="97">
        <v>66.2</v>
      </c>
    </row>
    <row r="73" spans="1:10" x14ac:dyDescent="0.25">
      <c r="A73" s="96">
        <v>69</v>
      </c>
      <c r="B73" s="96" t="s">
        <v>489</v>
      </c>
      <c r="C73" s="96">
        <v>1684</v>
      </c>
      <c r="D73" s="96">
        <v>2029.9999999999998</v>
      </c>
      <c r="E73" s="96">
        <v>1684</v>
      </c>
      <c r="F73" s="96">
        <v>2029.9999999999998</v>
      </c>
      <c r="G73" s="97">
        <v>63.8</v>
      </c>
      <c r="H73" s="97">
        <v>66.3</v>
      </c>
      <c r="I73" s="97">
        <v>63.8</v>
      </c>
      <c r="J73" s="97">
        <v>66.3</v>
      </c>
    </row>
    <row r="74" spans="1:10" x14ac:dyDescent="0.25">
      <c r="A74" s="96">
        <v>70</v>
      </c>
      <c r="B74" s="96" t="s">
        <v>490</v>
      </c>
      <c r="C74" s="96">
        <v>1686</v>
      </c>
      <c r="D74" s="96">
        <v>2029.9999999999998</v>
      </c>
      <c r="E74" s="96">
        <v>1686</v>
      </c>
      <c r="F74" s="96">
        <v>2029.9999999999998</v>
      </c>
      <c r="G74" s="97">
        <v>63.8</v>
      </c>
      <c r="H74" s="97">
        <v>66.400000000000006</v>
      </c>
      <c r="I74" s="97">
        <v>63.8</v>
      </c>
      <c r="J74" s="97">
        <v>66.400000000000006</v>
      </c>
    </row>
    <row r="75" spans="1:10" x14ac:dyDescent="0.25">
      <c r="A75" s="96">
        <v>71</v>
      </c>
      <c r="B75" s="96" t="s">
        <v>491</v>
      </c>
      <c r="C75" s="96">
        <v>1688</v>
      </c>
      <c r="D75" s="96">
        <v>2029.9999999999998</v>
      </c>
      <c r="E75" s="96">
        <v>1688</v>
      </c>
      <c r="F75" s="96">
        <v>2029.9999999999998</v>
      </c>
      <c r="G75" s="97">
        <v>63.9</v>
      </c>
      <c r="H75" s="97">
        <v>66.400000000000006</v>
      </c>
      <c r="I75" s="97">
        <v>63.9</v>
      </c>
      <c r="J75" s="97">
        <v>66.400000000000006</v>
      </c>
    </row>
    <row r="76" spans="1:10" x14ac:dyDescent="0.25">
      <c r="A76" s="96">
        <v>72</v>
      </c>
      <c r="B76" s="96" t="s">
        <v>492</v>
      </c>
      <c r="C76" s="96">
        <v>1690</v>
      </c>
      <c r="D76" s="96">
        <v>2029.9999999999998</v>
      </c>
      <c r="E76" s="96">
        <v>1690</v>
      </c>
      <c r="F76" s="96">
        <v>2029.9999999999998</v>
      </c>
      <c r="G76" s="97">
        <v>63.9</v>
      </c>
      <c r="H76" s="97">
        <v>66.5</v>
      </c>
      <c r="I76" s="97">
        <v>63.9</v>
      </c>
      <c r="J76" s="97">
        <v>66.5</v>
      </c>
    </row>
    <row r="77" spans="1:10" x14ac:dyDescent="0.25">
      <c r="A77" s="96">
        <v>73</v>
      </c>
      <c r="B77" s="96" t="s">
        <v>493</v>
      </c>
      <c r="C77" s="96">
        <v>1692</v>
      </c>
      <c r="D77" s="96">
        <v>2040</v>
      </c>
      <c r="E77" s="96">
        <v>1692</v>
      </c>
      <c r="F77" s="96">
        <v>2040</v>
      </c>
      <c r="G77" s="97">
        <v>63.9</v>
      </c>
      <c r="H77" s="97">
        <v>66.599999999999994</v>
      </c>
      <c r="I77" s="97">
        <v>63.9</v>
      </c>
      <c r="J77" s="97">
        <v>66.599999999999994</v>
      </c>
    </row>
    <row r="78" spans="1:10" x14ac:dyDescent="0.25">
      <c r="A78" s="96">
        <v>74</v>
      </c>
      <c r="B78" s="96" t="s">
        <v>494</v>
      </c>
      <c r="C78" s="96">
        <v>1694</v>
      </c>
      <c r="D78" s="96">
        <v>2040</v>
      </c>
      <c r="E78" s="96">
        <v>1694</v>
      </c>
      <c r="F78" s="96">
        <v>2040</v>
      </c>
      <c r="G78" s="97">
        <v>64</v>
      </c>
      <c r="H78" s="97">
        <v>66.599999999999994</v>
      </c>
      <c r="I78" s="97">
        <v>64</v>
      </c>
      <c r="J78" s="97">
        <v>66.599999999999994</v>
      </c>
    </row>
    <row r="79" spans="1:10" x14ac:dyDescent="0.25">
      <c r="A79" s="96">
        <v>75</v>
      </c>
      <c r="B79" s="96" t="s">
        <v>495</v>
      </c>
      <c r="C79" s="96">
        <v>1696</v>
      </c>
      <c r="D79" s="96">
        <v>2040</v>
      </c>
      <c r="E79" s="96">
        <v>1696</v>
      </c>
      <c r="F79" s="96">
        <v>2040</v>
      </c>
      <c r="G79" s="97">
        <v>64</v>
      </c>
      <c r="H79" s="97">
        <v>66.7</v>
      </c>
      <c r="I79" s="97">
        <v>64</v>
      </c>
      <c r="J79" s="97">
        <v>66.7</v>
      </c>
    </row>
    <row r="80" spans="1:10" x14ac:dyDescent="0.25">
      <c r="A80" s="96">
        <v>76</v>
      </c>
      <c r="B80" s="96" t="s">
        <v>496</v>
      </c>
      <c r="C80" s="96">
        <v>1698</v>
      </c>
      <c r="D80" s="96">
        <v>2040</v>
      </c>
      <c r="E80" s="96">
        <v>1698</v>
      </c>
      <c r="F80" s="96">
        <v>2040</v>
      </c>
      <c r="G80" s="97">
        <v>64</v>
      </c>
      <c r="H80" s="97">
        <v>66.7</v>
      </c>
      <c r="I80" s="97">
        <v>64</v>
      </c>
      <c r="J80" s="97">
        <v>66.7</v>
      </c>
    </row>
    <row r="81" spans="1:10" x14ac:dyDescent="0.25">
      <c r="A81" s="96">
        <v>77</v>
      </c>
      <c r="B81" s="96" t="s">
        <v>497</v>
      </c>
      <c r="C81" s="96">
        <v>1700</v>
      </c>
      <c r="D81" s="96">
        <v>2040</v>
      </c>
      <c r="E81" s="96">
        <v>1700</v>
      </c>
      <c r="F81" s="96">
        <v>2040</v>
      </c>
      <c r="G81" s="97">
        <v>64.099999999999994</v>
      </c>
      <c r="H81" s="97">
        <v>66.8</v>
      </c>
      <c r="I81" s="97">
        <v>64.099999999999994</v>
      </c>
      <c r="J81" s="97">
        <v>66.8</v>
      </c>
    </row>
    <row r="82" spans="1:10" x14ac:dyDescent="0.25">
      <c r="A82" s="96">
        <v>78</v>
      </c>
      <c r="B82" s="96" t="s">
        <v>498</v>
      </c>
      <c r="C82" s="96">
        <v>1702</v>
      </c>
      <c r="D82" s="96">
        <v>2050</v>
      </c>
      <c r="E82" s="96">
        <v>1702</v>
      </c>
      <c r="F82" s="96">
        <v>2050</v>
      </c>
      <c r="G82" s="97">
        <v>64.099999999999994</v>
      </c>
      <c r="H82" s="97">
        <v>66.900000000000006</v>
      </c>
      <c r="I82" s="97">
        <v>64.099999999999994</v>
      </c>
      <c r="J82" s="97">
        <v>66.900000000000006</v>
      </c>
    </row>
    <row r="83" spans="1:10" x14ac:dyDescent="0.25">
      <c r="A83" s="96">
        <v>79</v>
      </c>
      <c r="B83" s="96" t="s">
        <v>499</v>
      </c>
      <c r="C83" s="96">
        <v>1704</v>
      </c>
      <c r="D83" s="96">
        <v>2050</v>
      </c>
      <c r="E83" s="96">
        <v>1704</v>
      </c>
      <c r="F83" s="96">
        <v>2050</v>
      </c>
      <c r="G83" s="97">
        <v>64.099999999999994</v>
      </c>
      <c r="H83" s="97">
        <v>66.900000000000006</v>
      </c>
      <c r="I83" s="97">
        <v>64.099999999999994</v>
      </c>
      <c r="J83" s="97">
        <v>66.900000000000006</v>
      </c>
    </row>
    <row r="84" spans="1:10" x14ac:dyDescent="0.25">
      <c r="A84" s="96">
        <v>80</v>
      </c>
      <c r="B84" s="96" t="s">
        <v>500</v>
      </c>
      <c r="C84" s="96">
        <v>1705</v>
      </c>
      <c r="D84" s="96">
        <v>2050</v>
      </c>
      <c r="E84" s="96">
        <v>1705</v>
      </c>
      <c r="F84" s="96">
        <v>2050</v>
      </c>
      <c r="G84" s="97">
        <v>64.099999999999994</v>
      </c>
      <c r="H84" s="97">
        <v>67</v>
      </c>
      <c r="I84" s="97">
        <v>64.099999999999994</v>
      </c>
      <c r="J84" s="97">
        <v>67</v>
      </c>
    </row>
    <row r="85" spans="1:10" x14ac:dyDescent="0.25">
      <c r="A85" s="96">
        <v>81</v>
      </c>
      <c r="B85" s="96" t="s">
        <v>501</v>
      </c>
      <c r="C85" s="96">
        <v>1706</v>
      </c>
      <c r="D85" s="96">
        <v>2050</v>
      </c>
      <c r="E85" s="96">
        <v>1706</v>
      </c>
      <c r="F85" s="96">
        <v>2050</v>
      </c>
      <c r="G85" s="97">
        <v>64.099999999999994</v>
      </c>
      <c r="H85" s="97">
        <v>67</v>
      </c>
      <c r="I85" s="97">
        <v>64.099999999999994</v>
      </c>
      <c r="J85" s="97">
        <v>67</v>
      </c>
    </row>
    <row r="86" spans="1:10" x14ac:dyDescent="0.25">
      <c r="A86" s="96">
        <v>82</v>
      </c>
      <c r="B86" s="96" t="s">
        <v>502</v>
      </c>
      <c r="C86" s="96">
        <v>1707</v>
      </c>
      <c r="D86" s="96">
        <v>2050</v>
      </c>
      <c r="E86" s="96">
        <v>1707</v>
      </c>
      <c r="F86" s="96">
        <v>2050</v>
      </c>
      <c r="G86" s="97">
        <v>64.2</v>
      </c>
      <c r="H86" s="97">
        <v>67.099999999999994</v>
      </c>
      <c r="I86" s="97">
        <v>64.2</v>
      </c>
      <c r="J86" s="97">
        <v>67.099999999999994</v>
      </c>
    </row>
    <row r="87" spans="1:10" x14ac:dyDescent="0.25">
      <c r="A87" s="96">
        <v>83</v>
      </c>
      <c r="B87" s="96" t="s">
        <v>503</v>
      </c>
      <c r="C87" s="96">
        <v>1708</v>
      </c>
      <c r="D87" s="96">
        <v>2060</v>
      </c>
      <c r="E87" s="96">
        <v>1708</v>
      </c>
      <c r="F87" s="96">
        <v>2060</v>
      </c>
      <c r="G87" s="97">
        <v>64.2</v>
      </c>
      <c r="H87" s="97">
        <v>67.099999999999994</v>
      </c>
      <c r="I87" s="97">
        <v>64.2</v>
      </c>
      <c r="J87" s="97">
        <v>67.099999999999994</v>
      </c>
    </row>
    <row r="88" spans="1:10" x14ac:dyDescent="0.25">
      <c r="A88" s="96">
        <v>84</v>
      </c>
      <c r="B88" s="96" t="s">
        <v>504</v>
      </c>
      <c r="C88" s="96">
        <v>1709</v>
      </c>
      <c r="D88" s="96">
        <v>2060</v>
      </c>
      <c r="E88" s="96">
        <v>1709</v>
      </c>
      <c r="F88" s="96">
        <v>2060</v>
      </c>
      <c r="G88" s="97">
        <v>64.2</v>
      </c>
      <c r="H88" s="97">
        <v>67.2</v>
      </c>
      <c r="I88" s="97">
        <v>64.2</v>
      </c>
      <c r="J88" s="97">
        <v>67.2</v>
      </c>
    </row>
    <row r="89" spans="1:10" x14ac:dyDescent="0.25">
      <c r="A89" s="96">
        <v>85</v>
      </c>
      <c r="B89" s="96" t="s">
        <v>505</v>
      </c>
      <c r="C89" s="96">
        <v>1710</v>
      </c>
      <c r="D89" s="96">
        <v>2060</v>
      </c>
      <c r="E89" s="96">
        <v>1710</v>
      </c>
      <c r="F89" s="96">
        <v>2060</v>
      </c>
      <c r="G89" s="97">
        <v>64.2</v>
      </c>
      <c r="H89" s="97">
        <v>67.2</v>
      </c>
      <c r="I89" s="97">
        <v>64.2</v>
      </c>
      <c r="J89" s="97">
        <v>67.2</v>
      </c>
    </row>
    <row r="90" spans="1:10" x14ac:dyDescent="0.25">
      <c r="A90" s="96">
        <v>86</v>
      </c>
      <c r="B90" s="96" t="s">
        <v>506</v>
      </c>
      <c r="C90" s="96">
        <v>1711</v>
      </c>
      <c r="D90" s="96">
        <v>2060</v>
      </c>
      <c r="E90" s="96">
        <v>1711</v>
      </c>
      <c r="F90" s="96">
        <v>2060</v>
      </c>
      <c r="G90" s="97">
        <v>64.2</v>
      </c>
      <c r="H90" s="97">
        <v>67.3</v>
      </c>
      <c r="I90" s="97">
        <v>64.2</v>
      </c>
      <c r="J90" s="97">
        <v>67.3</v>
      </c>
    </row>
    <row r="91" spans="1:10" x14ac:dyDescent="0.25">
      <c r="A91" s="96">
        <v>87</v>
      </c>
      <c r="B91" s="96" t="s">
        <v>507</v>
      </c>
      <c r="C91" s="96">
        <v>1712</v>
      </c>
      <c r="D91" s="96">
        <v>2060</v>
      </c>
      <c r="E91" s="96">
        <v>1712</v>
      </c>
      <c r="F91" s="96">
        <v>2060</v>
      </c>
      <c r="G91" s="97">
        <v>64.2</v>
      </c>
      <c r="H91" s="97">
        <v>67.3</v>
      </c>
      <c r="I91" s="97">
        <v>64.2</v>
      </c>
      <c r="J91" s="97">
        <v>67.3</v>
      </c>
    </row>
    <row r="92" spans="1:10" x14ac:dyDescent="0.25">
      <c r="A92" s="96">
        <v>88</v>
      </c>
      <c r="B92" s="96" t="s">
        <v>508</v>
      </c>
      <c r="C92" s="96">
        <v>1713</v>
      </c>
      <c r="D92" s="96">
        <v>2070</v>
      </c>
      <c r="E92" s="96">
        <v>1713</v>
      </c>
      <c r="F92" s="96">
        <v>2070</v>
      </c>
      <c r="G92" s="97">
        <v>64.2</v>
      </c>
      <c r="H92" s="97">
        <v>67.400000000000006</v>
      </c>
      <c r="I92" s="97">
        <v>64.2</v>
      </c>
      <c r="J92" s="97">
        <v>67.400000000000006</v>
      </c>
    </row>
    <row r="93" spans="1:10" x14ac:dyDescent="0.25">
      <c r="A93" s="96">
        <v>89</v>
      </c>
      <c r="B93" s="96" t="s">
        <v>509</v>
      </c>
      <c r="C93" s="96">
        <v>1714</v>
      </c>
      <c r="D93" s="96">
        <v>2070</v>
      </c>
      <c r="E93" s="96">
        <v>1714</v>
      </c>
      <c r="F93" s="96">
        <v>2070</v>
      </c>
      <c r="G93" s="97">
        <v>64.2</v>
      </c>
      <c r="H93" s="97">
        <v>67.400000000000006</v>
      </c>
      <c r="I93" s="97">
        <v>64.2</v>
      </c>
      <c r="J93" s="97">
        <v>67.400000000000006</v>
      </c>
    </row>
    <row r="94" spans="1:10" x14ac:dyDescent="0.25">
      <c r="A94" s="96">
        <v>90</v>
      </c>
      <c r="B94" s="96" t="s">
        <v>510</v>
      </c>
      <c r="C94" s="96">
        <v>1715</v>
      </c>
      <c r="D94" s="96">
        <v>2070</v>
      </c>
      <c r="E94" s="96">
        <v>1715</v>
      </c>
      <c r="F94" s="96">
        <v>2070</v>
      </c>
      <c r="G94" s="97">
        <v>64.2</v>
      </c>
      <c r="H94" s="97">
        <v>67.5</v>
      </c>
      <c r="I94" s="97">
        <v>64.2</v>
      </c>
      <c r="J94" s="97">
        <v>67.5</v>
      </c>
    </row>
    <row r="95" spans="1:10" x14ac:dyDescent="0.25">
      <c r="A95" s="96">
        <v>91</v>
      </c>
      <c r="B95" s="96" t="s">
        <v>511</v>
      </c>
      <c r="C95" s="96">
        <v>1716</v>
      </c>
      <c r="D95" s="96">
        <v>2070</v>
      </c>
      <c r="E95" s="96">
        <v>1716</v>
      </c>
      <c r="F95" s="96">
        <v>2070</v>
      </c>
      <c r="G95" s="97">
        <v>64.2</v>
      </c>
      <c r="H95" s="97">
        <v>67.5</v>
      </c>
      <c r="I95" s="97">
        <v>64.2</v>
      </c>
      <c r="J95" s="97">
        <v>67.5</v>
      </c>
    </row>
    <row r="96" spans="1:10" x14ac:dyDescent="0.25">
      <c r="A96" s="96">
        <v>92</v>
      </c>
      <c r="B96" s="96" t="s">
        <v>512</v>
      </c>
      <c r="C96" s="96">
        <v>1717</v>
      </c>
      <c r="D96" s="96">
        <v>2070</v>
      </c>
      <c r="E96" s="96">
        <v>1717</v>
      </c>
      <c r="F96" s="96">
        <v>2070</v>
      </c>
      <c r="G96" s="97">
        <v>64.2</v>
      </c>
      <c r="H96" s="97">
        <v>67.5</v>
      </c>
      <c r="I96" s="97">
        <v>64.2</v>
      </c>
      <c r="J96" s="97">
        <v>67.5</v>
      </c>
    </row>
    <row r="97" spans="1:10" x14ac:dyDescent="0.25">
      <c r="A97" s="96">
        <v>93</v>
      </c>
      <c r="B97" s="96" t="s">
        <v>513</v>
      </c>
      <c r="C97" s="96">
        <v>1718</v>
      </c>
      <c r="D97" s="96">
        <v>2080</v>
      </c>
      <c r="E97" s="96">
        <v>1718</v>
      </c>
      <c r="F97" s="96">
        <v>2080</v>
      </c>
      <c r="G97" s="97">
        <v>64.2</v>
      </c>
      <c r="H97" s="97">
        <v>67.599999999999994</v>
      </c>
      <c r="I97" s="97">
        <v>64.2</v>
      </c>
      <c r="J97" s="97">
        <v>67.599999999999994</v>
      </c>
    </row>
    <row r="98" spans="1:10" x14ac:dyDescent="0.25">
      <c r="A98" s="96">
        <v>94</v>
      </c>
      <c r="B98" s="96" t="s">
        <v>514</v>
      </c>
      <c r="C98" s="96">
        <v>1719</v>
      </c>
      <c r="D98" s="96">
        <v>2080</v>
      </c>
      <c r="E98" s="96">
        <v>1719</v>
      </c>
      <c r="F98" s="96">
        <v>2080</v>
      </c>
      <c r="G98" s="97">
        <v>64.2</v>
      </c>
      <c r="H98" s="97">
        <v>67.599999999999994</v>
      </c>
      <c r="I98" s="97">
        <v>64.2</v>
      </c>
      <c r="J98" s="97">
        <v>67.599999999999994</v>
      </c>
    </row>
    <row r="99" spans="1:10" x14ac:dyDescent="0.25">
      <c r="A99" s="96">
        <v>95</v>
      </c>
      <c r="B99" s="96" t="s">
        <v>515</v>
      </c>
      <c r="C99" s="96">
        <v>1720</v>
      </c>
      <c r="D99" s="96">
        <v>2080</v>
      </c>
      <c r="E99" s="96">
        <v>1720</v>
      </c>
      <c r="F99" s="96">
        <v>2080</v>
      </c>
      <c r="G99" s="97">
        <v>64.2</v>
      </c>
      <c r="H99" s="97">
        <v>67.599999999999994</v>
      </c>
      <c r="I99" s="97">
        <v>64.2</v>
      </c>
      <c r="J99" s="97">
        <v>67.599999999999994</v>
      </c>
    </row>
    <row r="100" spans="1:10" x14ac:dyDescent="0.25">
      <c r="A100" s="96">
        <v>96</v>
      </c>
      <c r="B100" s="96" t="s">
        <v>516</v>
      </c>
      <c r="C100" s="96">
        <v>1721</v>
      </c>
      <c r="D100" s="96">
        <v>2080</v>
      </c>
      <c r="E100" s="96">
        <v>1721</v>
      </c>
      <c r="F100" s="96">
        <v>2080</v>
      </c>
      <c r="G100" s="97">
        <v>64.2</v>
      </c>
      <c r="H100" s="97">
        <v>67.7</v>
      </c>
      <c r="I100" s="97">
        <v>64.2</v>
      </c>
      <c r="J100" s="97">
        <v>67.7</v>
      </c>
    </row>
    <row r="101" spans="1:10" x14ac:dyDescent="0.25">
      <c r="A101" s="96">
        <v>97</v>
      </c>
      <c r="B101" s="96" t="s">
        <v>517</v>
      </c>
      <c r="C101" s="96">
        <v>1722</v>
      </c>
      <c r="D101" s="96">
        <v>2080</v>
      </c>
      <c r="E101" s="96">
        <v>1722</v>
      </c>
      <c r="F101" s="96">
        <v>2080</v>
      </c>
      <c r="G101" s="97">
        <v>64.2</v>
      </c>
      <c r="H101" s="97">
        <v>67.7</v>
      </c>
      <c r="I101" s="97">
        <v>64.2</v>
      </c>
      <c r="J101" s="97">
        <v>67.7</v>
      </c>
    </row>
    <row r="102" spans="1:10" x14ac:dyDescent="0.25">
      <c r="A102" s="96">
        <v>98</v>
      </c>
      <c r="B102" s="96" t="s">
        <v>518</v>
      </c>
      <c r="C102" s="96">
        <v>1723</v>
      </c>
      <c r="D102" s="96">
        <v>2090</v>
      </c>
      <c r="E102" s="96">
        <v>1723</v>
      </c>
      <c r="F102" s="96">
        <v>2090</v>
      </c>
      <c r="G102" s="97">
        <v>64.2</v>
      </c>
      <c r="H102" s="97">
        <v>67.7</v>
      </c>
      <c r="I102" s="97">
        <v>64.2</v>
      </c>
      <c r="J102" s="97">
        <v>67.7</v>
      </c>
    </row>
    <row r="103" spans="1:10" x14ac:dyDescent="0.25">
      <c r="A103" s="96">
        <v>99</v>
      </c>
      <c r="B103" s="96" t="s">
        <v>519</v>
      </c>
      <c r="C103" s="96">
        <v>1724</v>
      </c>
      <c r="D103" s="96">
        <v>2090</v>
      </c>
      <c r="E103" s="96">
        <v>1724</v>
      </c>
      <c r="F103" s="96">
        <v>2090</v>
      </c>
      <c r="G103" s="97">
        <v>64.2</v>
      </c>
      <c r="H103" s="97">
        <v>67.8</v>
      </c>
      <c r="I103" s="97">
        <v>64.2</v>
      </c>
      <c r="J103" s="97">
        <v>67.8</v>
      </c>
    </row>
    <row r="104" spans="1:10" x14ac:dyDescent="0.25">
      <c r="A104" s="96">
        <v>100</v>
      </c>
      <c r="B104" s="96" t="s">
        <v>520</v>
      </c>
      <c r="C104" s="96">
        <v>1725</v>
      </c>
      <c r="D104" s="96">
        <v>2090</v>
      </c>
      <c r="E104" s="96">
        <v>1725</v>
      </c>
      <c r="F104" s="96">
        <v>2090</v>
      </c>
      <c r="G104" s="97">
        <v>64.2</v>
      </c>
      <c r="H104" s="97">
        <v>67.8</v>
      </c>
      <c r="I104" s="97">
        <v>64.2</v>
      </c>
      <c r="J104" s="97">
        <v>67.8</v>
      </c>
    </row>
  </sheetData>
  <sheetProtection algorithmName="SHA-512" hashValue="GloTtb3gPON4RINpFsW6373AJPrXYJmOESp0Kyp+ozFTGhCFruCTdKceU2qAXldHJ7cQ8trPBHdY9Q4q1qH+6g==" saltValue="l651cv/m3Xzzijh+NDW3p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AVES</vt:lpstr>
      <vt:lpstr> OVOS</vt:lpstr>
      <vt:lpstr>Gráficos Semanais</vt:lpstr>
      <vt:lpstr>RELATÓRIO GERAL</vt:lpstr>
      <vt:lpstr>Base de dados</vt:lpstr>
      <vt:lpstr>' OVOS'!Area_de_impressao</vt:lpstr>
      <vt:lpstr>AVES!Area_de_impressao</vt:lpstr>
      <vt:lpstr>'Gráficos Semanais'!Area_de_impressao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Otavio Olivieri</cp:lastModifiedBy>
  <cp:lastPrinted>2023-10-18T23:13:41Z</cp:lastPrinted>
  <dcterms:created xsi:type="dcterms:W3CDTF">2023-01-12T13:34:03Z</dcterms:created>
  <dcterms:modified xsi:type="dcterms:W3CDTF">2023-10-18T23:17:18Z</dcterms:modified>
</cp:coreProperties>
</file>